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firstSheet="3" activeTab="3"/>
  </bookViews>
  <sheets>
    <sheet name="RESUMO FINAL" sheetId="1" r:id="rId1"/>
    <sheet name="AUXILIAR DE COZINHA 40 h" sheetId="2" r:id="rId2"/>
    <sheet name="AUXILIAR DE COZINHA 20 H" sheetId="3" r:id="rId3"/>
    <sheet name="AUX DE LIMPEZA 20H" sheetId="4" r:id="rId4"/>
    <sheet name="AUX DE LIMPEZA 40H" sheetId="5" r:id="rId5"/>
    <sheet name="VIGILANTE 40 HOR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4" authorId="0">
      <text>
        <r>
          <rPr>
            <b/>
            <u val="single"/>
            <sz val="15"/>
            <color indexed="8"/>
            <rFont val="Arial"/>
            <family val="2"/>
          </rPr>
          <t>PODERÁ</t>
        </r>
        <r>
          <rPr>
            <b/>
            <sz val="12"/>
            <color indexed="8"/>
            <rFont val="Arial"/>
            <family val="2"/>
          </rPr>
          <t xml:space="preserve"> </t>
        </r>
        <r>
          <rPr>
            <sz val="12"/>
            <color indexed="8"/>
            <rFont val="Arial"/>
            <family val="2"/>
          </rPr>
          <t>SER EXIGIDO COMPROVAÇÃO COMPROBATÓRIA DOCUMENTAL PARA AVALIÇÃO DO PERCENTUAL UTILIZADO,</t>
        </r>
        <r>
          <rPr>
            <b/>
            <sz val="12"/>
            <color indexed="8"/>
            <rFont val="Arial"/>
            <family val="2"/>
          </rPr>
          <t xml:space="preserve"> QUANDO ABAIXO DO ÍNDICE DE: </t>
        </r>
        <r>
          <rPr>
            <b/>
            <sz val="15"/>
            <color indexed="8"/>
            <rFont val="Arial"/>
            <family val="2"/>
          </rPr>
          <t>5,65%;</t>
        </r>
      </text>
    </comment>
  </commentList>
</comments>
</file>

<file path=xl/sharedStrings.xml><?xml version="1.0" encoding="utf-8"?>
<sst xmlns="http://schemas.openxmlformats.org/spreadsheetml/2006/main" count="592" uniqueCount="134">
  <si>
    <t>RESUMO FINAL DA PLANILHA DE CUSTO POR ITEM DA PROPOSTA</t>
  </si>
  <si>
    <t>A - PLANILHA DE CUSTO E FORMAÇÃO DE PREÇO POR ITEM DA PROPOSTA</t>
  </si>
  <si>
    <t>ITEM</t>
  </si>
  <si>
    <t>DESCRIÇAO</t>
  </si>
  <si>
    <t xml:space="preserve">QUT FUNC </t>
  </si>
  <si>
    <t>VL. MENSAL TOTAL</t>
  </si>
  <si>
    <t>VL. ANUAL 12 MESES</t>
  </si>
  <si>
    <t>TOTAL DO CUSTO DE FUNCIONÁRIOS</t>
  </si>
  <si>
    <t>-</t>
  </si>
  <si>
    <t>B - ENCARGOS SÓCIAIS VARIÁVEIS</t>
  </si>
  <si>
    <t>%</t>
  </si>
  <si>
    <t>RAT x FAP = RAT AJUSTADO **</t>
  </si>
  <si>
    <t>C - BDI (Custos Indiretos, Tributos e Lucros)</t>
  </si>
  <si>
    <t>Despesas Administrativas / Custos Indiretos</t>
  </si>
  <si>
    <t>Lucro Estimado</t>
  </si>
  <si>
    <t>Tributos (PIS + COFINS + ISS) ***</t>
  </si>
  <si>
    <t>3.1 - COFINS</t>
  </si>
  <si>
    <t>3.2 - ISS</t>
  </si>
  <si>
    <t>3.3 - PIS</t>
  </si>
  <si>
    <t>TOTAL GERAL  (A + B + C) =</t>
  </si>
  <si>
    <r>
      <rPr>
        <b/>
        <u val="single"/>
        <sz val="10"/>
        <rFont val="Arial"/>
        <family val="2"/>
      </rPr>
      <t xml:space="preserve">
NOTAS EXPLICATIVAS</t>
    </r>
    <r>
      <rPr>
        <sz val="10"/>
        <rFont val="Arial"/>
        <family val="2"/>
      </rPr>
      <t xml:space="preserve">:
** DEVE SER COMPROVADA COM A SEFIP(GFIP) DA COMPETÊNCIA EXIGIDA NO EDITAL DE LICITAÇÃO;
*** </t>
    </r>
    <r>
      <rPr>
        <b/>
        <u val="single"/>
        <sz val="10"/>
        <rFont val="Arial"/>
        <family val="2"/>
      </rPr>
      <t>PODERÁ</t>
    </r>
    <r>
      <rPr>
        <sz val="10"/>
        <rFont val="Arial"/>
        <family val="2"/>
      </rPr>
      <t xml:space="preserve"> SER EXIGIDO COMPROVAÇÃO COMPROBATÓRIA DOCUMENTAL PARA AVALIÇÃO DO PERCENTUAL UTILIZADO, QUANDO INFERIORES A ÍNDICE DE : </t>
    </r>
    <r>
      <rPr>
        <b/>
        <u val="single"/>
        <sz val="10"/>
        <rFont val="Arial"/>
        <family val="2"/>
      </rPr>
      <t>5,65%</t>
    </r>
  </si>
  <si>
    <t>VALOR A TÍTULO DE INFORMAÇÃO GERENCIAL PARA OS LICITANTES</t>
  </si>
  <si>
    <t>Despesas Administrativas/Operacionais</t>
  </si>
  <si>
    <t>Lucro Mínimo Estimado</t>
  </si>
  <si>
    <t>VALOR TOTAL LUCROS E DESPESAS ADMINISTRATIVAS</t>
  </si>
  <si>
    <t>PLANILHA DE CUSTOS E FORMAÇÃO DE PREÇOS</t>
  </si>
  <si>
    <t>I - INFORMAÇÕES DA PRESTAÇÃO E SERVIÇOS:</t>
  </si>
  <si>
    <t>NUMERO</t>
  </si>
  <si>
    <t xml:space="preserve"> POR EXTENSO</t>
  </si>
  <si>
    <t>A - Do Serviço:</t>
  </si>
  <si>
    <t>01 - JORNADA DIÁRIA</t>
  </si>
  <si>
    <t>02 - ESCALA DE SERVIÇO</t>
  </si>
  <si>
    <t>03 - TOTAL DE HORAS MENSAIS</t>
  </si>
  <si>
    <t>04 - QUANTIDADE DE FUNCIONÁRIOS NECESSÁRIOS</t>
  </si>
  <si>
    <t>05 - QUANTIDADE DE POSTOS LICITADOS</t>
  </si>
  <si>
    <t>B - Salário Normativo e Dados Complementares:</t>
  </si>
  <si>
    <t>01 - SALÁRIO NORMATIVO DA CATEGORIA CFE CCT 220H</t>
  </si>
  <si>
    <t>02 - CATEGORIA PROFISSIONAL/ FUNÇÃO</t>
  </si>
  <si>
    <t>03 - SINDICATO PROFISSIONAL COMPETENTE</t>
  </si>
  <si>
    <t>SINDILIMP/SINDASSEIO</t>
  </si>
  <si>
    <t>04 - DATA BASE DA CATEGORIA</t>
  </si>
  <si>
    <t>05 - N°. DISSIDIO DA CATEGORIA VIGENTE</t>
  </si>
  <si>
    <t>RS005021/2021</t>
  </si>
  <si>
    <t>II - REMUNEAÇÃO E ENCARGOS:</t>
  </si>
  <si>
    <t>Vlr / % / Hs</t>
  </si>
  <si>
    <t xml:space="preserve">A - REMUNERAÇÃO  </t>
  </si>
  <si>
    <t>01 - Salário Base cfe Categoria</t>
  </si>
  <si>
    <t>02 - Adicional Insalubridade</t>
  </si>
  <si>
    <t>03 - Adicional Periculosidade</t>
  </si>
  <si>
    <t>04 - Adicional Noturno/Hora reduzida (20%) + Reflexos DSR</t>
  </si>
  <si>
    <t>07 - Repouso Intervalar Intrajornada + Reflexos DSR (50%)</t>
  </si>
  <si>
    <t xml:space="preserve">TOTAL DA REMUNERAÇÃO (A) = </t>
  </si>
  <si>
    <t xml:space="preserve">B - ENCARGOS SOCIAIS BÁSICOS </t>
  </si>
  <si>
    <t xml:space="preserve"> *Incidentes sobre  Remuneração </t>
  </si>
  <si>
    <t>01 - PREVIDÊNCIA SOCIAL PATRONAL</t>
  </si>
  <si>
    <t>02 - SESC</t>
  </si>
  <si>
    <t>03 - SENAC</t>
  </si>
  <si>
    <t>04 - INCRA</t>
  </si>
  <si>
    <t>05 - SALÁRIO EDUCAÇÃO</t>
  </si>
  <si>
    <t>06 - FGTS</t>
  </si>
  <si>
    <t>07 - RAT x FAP = RAT AJUSTADO</t>
  </si>
  <si>
    <t>08 - SEBRAE</t>
  </si>
  <si>
    <t>VALOR DOS ENCARGOS SOCIAIS:</t>
  </si>
  <si>
    <t>C - DEMAIS ENCARGOS TRABALHISTAS</t>
  </si>
  <si>
    <t>Grupo "C.1"</t>
  </si>
  <si>
    <t>01 - 13º Salário</t>
  </si>
  <si>
    <t>02 - Férias (1/12)</t>
  </si>
  <si>
    <t>03 – Abono de férias/Terço constitucional (1/3)</t>
  </si>
  <si>
    <t>04 - Auxílio Doença/Enfermidade</t>
  </si>
  <si>
    <t>05 - Licença paternidade/maternidade</t>
  </si>
  <si>
    <t>06 -Ausências/Faltas legais</t>
  </si>
  <si>
    <t>07 - Acidente de trabalho</t>
  </si>
  <si>
    <t>TOTAL DO GRUPO C.1 =</t>
  </si>
  <si>
    <t>Grupo "C.2"</t>
  </si>
  <si>
    <t>01 - Aviso Prévio Indenizado/Trabalhado</t>
  </si>
  <si>
    <t>02 - Indenização Adicional</t>
  </si>
  <si>
    <t>03 - Indenização FGTS 40% (Rescisão sem justa causa)</t>
  </si>
  <si>
    <t xml:space="preserve">TOTAL DO GRUPO C.2 = </t>
  </si>
  <si>
    <t>Grupo "C.3"</t>
  </si>
  <si>
    <t>01 - Incidência dos Encargos do Grupo "B" sobre os itens do Grupo "C.1".</t>
  </si>
  <si>
    <t>02 – Incidência do FGTS exclusivamente sobre o aviso prévio indenizado</t>
  </si>
  <si>
    <t>03 – Incid FGTS s/ afast superior a 30 dias p/ acidente de trab/auxil doença.</t>
  </si>
  <si>
    <t xml:space="preserve">TOTAL DO GRUPO C.3 = </t>
  </si>
  <si>
    <t>VALOR DOS ENCARGOS TRABALHISTAS: (C.1+C.2+C.3) =</t>
  </si>
  <si>
    <t>VALOR DA REMUNERAÇÃO MAIS ENCARGOS: ( A + B + C ) =</t>
  </si>
  <si>
    <t>III - GASTOS EXTRAS:</t>
  </si>
  <si>
    <t>TOTAL DOS GASTOS EXTRAS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</si>
  <si>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</si>
  <si>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</si>
  <si>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</si>
  <si>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</si>
  <si>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</si>
  <si>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</t>
  </si>
  <si>
    <t>TOTAL DOS INSUMOS</t>
  </si>
  <si>
    <t>V - LUCROS E DESPESAS ADMINISTRATIVAS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</si>
  <si>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</si>
  <si>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</si>
  <si>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</si>
  <si>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</si>
  <si>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01 - Tributos ( PIS + COFINS + ISS)</t>
  </si>
  <si>
    <t>TOTAL DOS IMPOSTOS E TAXAS</t>
  </si>
  <si>
    <t>VII - QUADRO RESUMO COM O TOTAL DE GASTOS</t>
  </si>
  <si>
    <t>01 - REMUNERAÇÃO E ENCARGOS</t>
  </si>
  <si>
    <t>02 - GASTOS EXTRAS</t>
  </si>
  <si>
    <t>03 - INSUMOS</t>
  </si>
  <si>
    <t>04 - LUCROS E DESPESAS ADMINISTRATIVAS</t>
  </si>
  <si>
    <t>05 - IMPOSTOS E TAXAS</t>
  </si>
  <si>
    <t>VII - PREÇO MENSAL DO CONTRATO</t>
  </si>
  <si>
    <t>VIII - PREÇO ANUAL DO CONTRATO</t>
  </si>
  <si>
    <t>NÚMERO DE MESES</t>
  </si>
  <si>
    <t>OITO HORAS</t>
  </si>
  <si>
    <t>SEG-SEX: 08:00-12:00/13:00-17:00</t>
  </si>
  <si>
    <t>DUZENTAS HORAS</t>
  </si>
  <si>
    <t>POR POSTO</t>
  </si>
  <si>
    <t>05 - Adicional de Horas Extras + Reflexos DSR (50%)</t>
  </si>
  <si>
    <t>06 - Adicional de Horas Extras + Reflexos DSR D/S/FR (100%)</t>
  </si>
  <si>
    <t>SEG-SEX: 08:00-12:00 e 13:00-17:00</t>
  </si>
  <si>
    <t>SERVENTE - AUXILIAR DE LIMPEZA E SERVIÇOS GERAIS 40 HORAS</t>
  </si>
  <si>
    <t>SERVENTE / AUXILIAR DE LIMPEZA E SERVICOS GERAIS 40h - C.B.O: 5143</t>
  </si>
  <si>
    <t>SERVENTE - AUXILIAR DE LIMPEZA E SERVIÇOS GERAIS 20 HORAS</t>
  </si>
  <si>
    <t>SERVENTE / AUXILIAR DE LIMPEZA E SERVICOS GERAIS 20h - C.B.O: 5143</t>
  </si>
  <si>
    <t>01 - auxílio alimentação (Média 21 dias)</t>
  </si>
  <si>
    <t>02 - (-)Desconto auxílio Alimentação</t>
  </si>
  <si>
    <t>QUATRO HORAS</t>
  </si>
  <si>
    <t>HORÁRIO A DEFINIR</t>
  </si>
  <si>
    <t>VIGILANTE NÃO ARMADO 40h - C.B.O: 5173</t>
  </si>
  <si>
    <t>VL POR 
COLABORADOR</t>
  </si>
  <si>
    <t>VIGILANTE - C.B.O: 517330</t>
  </si>
  <si>
    <t>VIGILANTE</t>
  </si>
  <si>
    <t xml:space="preserve"> </t>
  </si>
  <si>
    <t>AUXILIAR DE COZINHA - C.B.O: 5135-05</t>
  </si>
  <si>
    <t>AUXILIAR DE COZINHA - 20 HORAS</t>
  </si>
  <si>
    <t>AUXILIAR DE COZINHA - 40 H</t>
  </si>
  <si>
    <t>AUXILIAR DE COZINHA - C.B.O: 5135-05 20H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</si>
</sst>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\-??_);_(@_)"/>
    <numFmt numFmtId="166" formatCode="0.0000"/>
    <numFmt numFmtId="167" formatCode="0.0"/>
    <numFmt numFmtId="168" formatCode="&quot;R$ &quot;#,##0.00"/>
    <numFmt numFmtId="169" formatCode="mm/dd/yyyy"/>
    <numFmt numFmtId="170" formatCode="_-* #,##0.00_-;\-* #,##0.00_-;_-* \-??_-;_-@_-"/>
    <numFmt numFmtId="171" formatCode="_(* #,##0.00_);_(* \(#,##0.00\);_(* \-??_);_(@_)"/>
    <numFmt numFmtId="172" formatCode="&quot;R$ &quot;#,##0.00;[Red]&quot;-R$ &quot;#,##0.00"/>
    <numFmt numFmtId="173" formatCode="mm/dd/yy;@"/>
  </numFmts>
  <fonts count="6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.5"/>
      <name val="Arial"/>
      <family val="2"/>
    </font>
    <font>
      <b/>
      <sz val="16"/>
      <name val="Arial"/>
      <family val="2"/>
    </font>
    <font>
      <sz val="12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u val="single"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name val="Courier New"/>
      <family val="3"/>
    </font>
    <font>
      <b/>
      <sz val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Courier New"/>
      <family val="3"/>
    </font>
    <font>
      <b/>
      <u val="single"/>
      <sz val="10"/>
      <name val="Verdana"/>
      <family val="2"/>
    </font>
    <font>
      <b/>
      <sz val="10"/>
      <name val="Courier New"/>
      <family val="3"/>
    </font>
    <font>
      <sz val="9"/>
      <name val="Verdan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1" xfId="44" applyFont="1" applyFill="1" applyBorder="1" applyAlignment="1" applyProtection="1">
      <alignment horizontal="left"/>
      <protection/>
    </xf>
    <xf numFmtId="165" fontId="3" fillId="0" borderId="12" xfId="44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165" fontId="4" fillId="0" borderId="11" xfId="44" applyFont="1" applyFill="1" applyBorder="1" applyAlignment="1" applyProtection="1">
      <alignment horizontal="left"/>
      <protection/>
    </xf>
    <xf numFmtId="165" fontId="4" fillId="0" borderId="12" xfId="44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>
      <alignment horizontal="center"/>
    </xf>
    <xf numFmtId="165" fontId="1" fillId="0" borderId="14" xfId="44" applyFont="1" applyFill="1" applyBorder="1" applyAlignment="1" applyProtection="1">
      <alignment horizontal="left"/>
      <protection/>
    </xf>
    <xf numFmtId="165" fontId="1" fillId="0" borderId="15" xfId="44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66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10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>
      <alignment/>
    </xf>
    <xf numFmtId="167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7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/>
    </xf>
    <xf numFmtId="2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>
      <alignment horizontal="left"/>
    </xf>
    <xf numFmtId="165" fontId="8" fillId="35" borderId="20" xfId="44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24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18" xfId="44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5" fontId="17" fillId="0" borderId="0" xfId="44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65" fontId="21" fillId="0" borderId="0" xfId="44" applyFont="1" applyFill="1" applyBorder="1" applyAlignment="1" applyProtection="1">
      <alignment/>
      <protection/>
    </xf>
    <xf numFmtId="0" fontId="18" fillId="36" borderId="11" xfId="0" applyFont="1" applyFill="1" applyBorder="1" applyAlignment="1">
      <alignment horizontal="left"/>
    </xf>
    <xf numFmtId="0" fontId="18" fillId="36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/>
    </xf>
    <xf numFmtId="165" fontId="21" fillId="33" borderId="11" xfId="44" applyFont="1" applyFill="1" applyBorder="1" applyAlignment="1" applyProtection="1">
      <alignment horizontal="center"/>
      <protection/>
    </xf>
    <xf numFmtId="0" fontId="17" fillId="33" borderId="0" xfId="0" applyFont="1" applyFill="1" applyAlignment="1">
      <alignment/>
    </xf>
    <xf numFmtId="0" fontId="21" fillId="0" borderId="13" xfId="0" applyFont="1" applyBorder="1" applyAlignment="1">
      <alignment horizontal="left"/>
    </xf>
    <xf numFmtId="0" fontId="23" fillId="33" borderId="11" xfId="0" applyFont="1" applyFill="1" applyBorder="1" applyAlignment="1">
      <alignment horizontal="center"/>
    </xf>
    <xf numFmtId="165" fontId="18" fillId="33" borderId="11" xfId="44" applyFont="1" applyFill="1" applyBorder="1" applyAlignment="1" applyProtection="1">
      <alignment horizontal="center"/>
      <protection/>
    </xf>
    <xf numFmtId="0" fontId="21" fillId="0" borderId="13" xfId="0" applyFont="1" applyBorder="1" applyAlignment="1">
      <alignment horizontal="left" vertical="center"/>
    </xf>
    <xf numFmtId="165" fontId="18" fillId="33" borderId="11" xfId="44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0" fontId="21" fillId="33" borderId="25" xfId="0" applyFont="1" applyFill="1" applyBorder="1" applyAlignment="1">
      <alignment horizontal="center"/>
    </xf>
    <xf numFmtId="165" fontId="21" fillId="33" borderId="22" xfId="44" applyFont="1" applyFill="1" applyBorder="1" applyAlignment="1" applyProtection="1">
      <alignment/>
      <protection/>
    </xf>
    <xf numFmtId="0" fontId="21" fillId="0" borderId="11" xfId="0" applyFont="1" applyBorder="1" applyAlignment="1">
      <alignment/>
    </xf>
    <xf numFmtId="165" fontId="24" fillId="0" borderId="25" xfId="44" applyFont="1" applyFill="1" applyBorder="1" applyAlignment="1" applyProtection="1">
      <alignment horizontal="center"/>
      <protection/>
    </xf>
    <xf numFmtId="168" fontId="24" fillId="33" borderId="11" xfId="44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9" fontId="22" fillId="0" borderId="26" xfId="48" applyFont="1" applyFill="1" applyBorder="1" applyAlignment="1" applyProtection="1">
      <alignment horizontal="center"/>
      <protection/>
    </xf>
    <xf numFmtId="9" fontId="18" fillId="0" borderId="26" xfId="48" applyFont="1" applyFill="1" applyBorder="1" applyAlignment="1" applyProtection="1">
      <alignment horizontal="center"/>
      <protection/>
    </xf>
    <xf numFmtId="169" fontId="21" fillId="33" borderId="11" xfId="44" applyNumberFormat="1" applyFont="1" applyFill="1" applyBorder="1" applyAlignment="1" applyProtection="1">
      <alignment horizontal="center"/>
      <protection/>
    </xf>
    <xf numFmtId="0" fontId="18" fillId="0" borderId="26" xfId="48" applyNumberFormat="1" applyFont="1" applyFill="1" applyBorder="1" applyAlignment="1" applyProtection="1">
      <alignment horizontal="center"/>
      <protection/>
    </xf>
    <xf numFmtId="0" fontId="21" fillId="33" borderId="22" xfId="44" applyNumberFormat="1" applyFont="1" applyFill="1" applyBorder="1" applyAlignment="1" applyProtection="1">
      <alignment horizontal="center"/>
      <protection/>
    </xf>
    <xf numFmtId="9" fontId="18" fillId="0" borderId="13" xfId="48" applyFont="1" applyFill="1" applyBorder="1" applyAlignment="1" applyProtection="1">
      <alignment horizontal="center"/>
      <protection/>
    </xf>
    <xf numFmtId="0" fontId="18" fillId="36" borderId="13" xfId="0" applyFont="1" applyFill="1" applyBorder="1" applyAlignment="1">
      <alignment/>
    </xf>
    <xf numFmtId="9" fontId="18" fillId="36" borderId="13" xfId="48" applyFont="1" applyFill="1" applyBorder="1" applyAlignment="1" applyProtection="1">
      <alignment horizontal="center"/>
      <protection/>
    </xf>
    <xf numFmtId="165" fontId="26" fillId="36" borderId="13" xfId="44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left"/>
    </xf>
    <xf numFmtId="9" fontId="21" fillId="0" borderId="11" xfId="48" applyFont="1" applyFill="1" applyBorder="1" applyAlignment="1" applyProtection="1">
      <alignment horizontal="center"/>
      <protection/>
    </xf>
    <xf numFmtId="165" fontId="21" fillId="0" borderId="11" xfId="44" applyFont="1" applyFill="1" applyBorder="1" applyAlignment="1" applyProtection="1">
      <alignment/>
      <protection/>
    </xf>
    <xf numFmtId="0" fontId="21" fillId="0" borderId="11" xfId="0" applyFont="1" applyBorder="1" applyAlignment="1">
      <alignment horizontal="left"/>
    </xf>
    <xf numFmtId="2" fontId="21" fillId="0" borderId="11" xfId="48" applyNumberFormat="1" applyFont="1" applyFill="1" applyBorder="1" applyAlignment="1" applyProtection="1">
      <alignment horizontal="center"/>
      <protection/>
    </xf>
    <xf numFmtId="0" fontId="21" fillId="0" borderId="27" xfId="0" applyFont="1" applyBorder="1" applyAlignment="1">
      <alignment horizontal="left"/>
    </xf>
    <xf numFmtId="0" fontId="18" fillId="0" borderId="27" xfId="0" applyFont="1" applyBorder="1" applyAlignment="1">
      <alignment/>
    </xf>
    <xf numFmtId="10" fontId="18" fillId="0" borderId="27" xfId="48" applyNumberFormat="1" applyFont="1" applyFill="1" applyBorder="1" applyAlignment="1" applyProtection="1">
      <alignment horizontal="center"/>
      <protection/>
    </xf>
    <xf numFmtId="165" fontId="18" fillId="0" borderId="27" xfId="44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18" fillId="0" borderId="11" xfId="0" applyFont="1" applyBorder="1" applyAlignment="1">
      <alignment/>
    </xf>
    <xf numFmtId="10" fontId="21" fillId="0" borderId="11" xfId="48" applyNumberFormat="1" applyFont="1" applyFill="1" applyBorder="1" applyAlignment="1" applyProtection="1">
      <alignment horizontal="center"/>
      <protection/>
    </xf>
    <xf numFmtId="165" fontId="21" fillId="33" borderId="11" xfId="44" applyFont="1" applyFill="1" applyBorder="1" applyAlignment="1" applyProtection="1">
      <alignment/>
      <protection/>
    </xf>
    <xf numFmtId="165" fontId="21" fillId="0" borderId="11" xfId="44" applyFont="1" applyFill="1" applyBorder="1" applyAlignment="1" applyProtection="1">
      <alignment horizontal="right"/>
      <protection/>
    </xf>
    <xf numFmtId="0" fontId="21" fillId="0" borderId="27" xfId="0" applyFont="1" applyBorder="1" applyAlignment="1">
      <alignment/>
    </xf>
    <xf numFmtId="10" fontId="21" fillId="0" borderId="27" xfId="48" applyNumberFormat="1" applyFont="1" applyFill="1" applyBorder="1" applyAlignment="1" applyProtection="1">
      <alignment horizontal="center"/>
      <protection/>
    </xf>
    <xf numFmtId="10" fontId="18" fillId="0" borderId="11" xfId="48" applyNumberFormat="1" applyFont="1" applyFill="1" applyBorder="1" applyAlignment="1" applyProtection="1">
      <alignment horizontal="center"/>
      <protection/>
    </xf>
    <xf numFmtId="165" fontId="18" fillId="0" borderId="11" xfId="44" applyFont="1" applyFill="1" applyBorder="1" applyAlignment="1" applyProtection="1">
      <alignment horizontal="right"/>
      <protection/>
    </xf>
    <xf numFmtId="0" fontId="21" fillId="0" borderId="13" xfId="0" applyFont="1" applyBorder="1" applyAlignment="1">
      <alignment/>
    </xf>
    <xf numFmtId="10" fontId="21" fillId="0" borderId="13" xfId="48" applyNumberFormat="1" applyFont="1" applyFill="1" applyBorder="1" applyAlignment="1" applyProtection="1">
      <alignment horizontal="center"/>
      <protection/>
    </xf>
    <xf numFmtId="165" fontId="21" fillId="0" borderId="13" xfId="44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left" vertical="center"/>
    </xf>
    <xf numFmtId="10" fontId="21" fillId="0" borderId="11" xfId="48" applyNumberFormat="1" applyFont="1" applyFill="1" applyBorder="1" applyAlignment="1" applyProtection="1">
      <alignment horizontal="center" vertical="center"/>
      <protection/>
    </xf>
    <xf numFmtId="165" fontId="18" fillId="0" borderId="11" xfId="44" applyFont="1" applyFill="1" applyBorder="1" applyAlignment="1" applyProtection="1">
      <alignment/>
      <protection/>
    </xf>
    <xf numFmtId="170" fontId="17" fillId="0" borderId="0" xfId="0" applyNumberFormat="1" applyFont="1" applyAlignment="1">
      <alignment/>
    </xf>
    <xf numFmtId="165" fontId="21" fillId="0" borderId="27" xfId="44" applyFont="1" applyFill="1" applyBorder="1" applyAlignment="1" applyProtection="1">
      <alignment/>
      <protection/>
    </xf>
    <xf numFmtId="0" fontId="28" fillId="0" borderId="11" xfId="0" applyFont="1" applyBorder="1" applyAlignment="1">
      <alignment vertical="top" wrapText="1"/>
    </xf>
    <xf numFmtId="165" fontId="21" fillId="0" borderId="13" xfId="44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vertical="top" wrapText="1"/>
    </xf>
    <xf numFmtId="10" fontId="18" fillId="0" borderId="11" xfId="48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>
      <alignment/>
    </xf>
    <xf numFmtId="0" fontId="18" fillId="0" borderId="28" xfId="0" applyFont="1" applyBorder="1" applyAlignment="1">
      <alignment/>
    </xf>
    <xf numFmtId="10" fontId="18" fillId="0" borderId="28" xfId="48" applyNumberFormat="1" applyFont="1" applyFill="1" applyBorder="1" applyAlignment="1" applyProtection="1">
      <alignment horizontal="center"/>
      <protection/>
    </xf>
    <xf numFmtId="165" fontId="21" fillId="0" borderId="28" xfId="44" applyFont="1" applyFill="1" applyBorder="1" applyAlignment="1" applyProtection="1">
      <alignment/>
      <protection/>
    </xf>
    <xf numFmtId="9" fontId="18" fillId="33" borderId="28" xfId="48" applyFont="1" applyFill="1" applyBorder="1" applyAlignment="1" applyProtection="1">
      <alignment horizontal="center"/>
      <protection/>
    </xf>
    <xf numFmtId="165" fontId="18" fillId="33" borderId="28" xfId="44" applyFont="1" applyFill="1" applyBorder="1" applyAlignment="1" applyProtection="1">
      <alignment/>
      <protection/>
    </xf>
    <xf numFmtId="168" fontId="21" fillId="0" borderId="11" xfId="44" applyNumberFormat="1" applyFont="1" applyFill="1" applyBorder="1" applyAlignment="1" applyProtection="1">
      <alignment horizontal="center" vertical="center"/>
      <protection/>
    </xf>
    <xf numFmtId="9" fontId="18" fillId="33" borderId="11" xfId="48" applyFont="1" applyFill="1" applyBorder="1" applyAlignment="1" applyProtection="1">
      <alignment horizontal="center"/>
      <protection/>
    </xf>
    <xf numFmtId="168" fontId="0" fillId="0" borderId="11" xfId="44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36" borderId="11" xfId="0" applyFont="1" applyFill="1" applyBorder="1" applyAlignment="1">
      <alignment/>
    </xf>
    <xf numFmtId="2" fontId="21" fillId="0" borderId="13" xfId="48" applyNumberFormat="1" applyFont="1" applyFill="1" applyBorder="1" applyAlignment="1" applyProtection="1">
      <alignment horizontal="center" vertical="center"/>
      <protection/>
    </xf>
    <xf numFmtId="165" fontId="21" fillId="0" borderId="13" xfId="44" applyFont="1" applyFill="1" applyBorder="1" applyAlignment="1" applyProtection="1">
      <alignment vertical="center"/>
      <protection/>
    </xf>
    <xf numFmtId="2" fontId="21" fillId="0" borderId="27" xfId="48" applyNumberFormat="1" applyFont="1" applyFill="1" applyBorder="1" applyAlignment="1" applyProtection="1">
      <alignment horizontal="center" vertical="center"/>
      <protection/>
    </xf>
    <xf numFmtId="165" fontId="21" fillId="0" borderId="27" xfId="44" applyFont="1" applyFill="1" applyBorder="1" applyAlignment="1" applyProtection="1">
      <alignment vertical="center"/>
      <protection/>
    </xf>
    <xf numFmtId="9" fontId="18" fillId="0" borderId="11" xfId="48" applyFont="1" applyFill="1" applyBorder="1" applyAlignment="1" applyProtection="1">
      <alignment horizontal="center"/>
      <protection/>
    </xf>
    <xf numFmtId="0" fontId="18" fillId="33" borderId="29" xfId="0" applyFont="1" applyFill="1" applyBorder="1" applyAlignment="1">
      <alignment/>
    </xf>
    <xf numFmtId="0" fontId="18" fillId="36" borderId="13" xfId="0" applyFont="1" applyFill="1" applyBorder="1" applyAlignment="1">
      <alignment horizontal="left"/>
    </xf>
    <xf numFmtId="171" fontId="21" fillId="0" borderId="11" xfId="44" applyNumberFormat="1" applyFont="1" applyFill="1" applyBorder="1" applyAlignment="1" applyProtection="1">
      <alignment/>
      <protection/>
    </xf>
    <xf numFmtId="165" fontId="18" fillId="0" borderId="25" xfId="44" applyFont="1" applyFill="1" applyBorder="1" applyAlignment="1" applyProtection="1">
      <alignment/>
      <protection/>
    </xf>
    <xf numFmtId="172" fontId="21" fillId="0" borderId="0" xfId="0" applyNumberFormat="1" applyFont="1" applyAlignment="1">
      <alignment/>
    </xf>
    <xf numFmtId="165" fontId="0" fillId="0" borderId="0" xfId="44" applyFill="1" applyBorder="1" applyAlignment="1" applyProtection="1">
      <alignment/>
      <protection/>
    </xf>
    <xf numFmtId="0" fontId="18" fillId="36" borderId="29" xfId="0" applyFont="1" applyFill="1" applyBorder="1" applyAlignment="1">
      <alignment/>
    </xf>
    <xf numFmtId="0" fontId="23" fillId="0" borderId="11" xfId="0" applyFont="1" applyBorder="1" applyAlignment="1">
      <alignment/>
    </xf>
    <xf numFmtId="165" fontId="20" fillId="0" borderId="13" xfId="48" applyNumberFormat="1" applyFont="1" applyFill="1" applyBorder="1" applyAlignment="1" applyProtection="1">
      <alignment horizontal="center"/>
      <protection/>
    </xf>
    <xf numFmtId="165" fontId="20" fillId="0" borderId="13" xfId="48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10" fontId="20" fillId="0" borderId="11" xfId="48" applyNumberFormat="1" applyFont="1" applyFill="1" applyBorder="1" applyAlignment="1" applyProtection="1">
      <alignment horizontal="center"/>
      <protection/>
    </xf>
    <xf numFmtId="165" fontId="23" fillId="36" borderId="27" xfId="44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1" fillId="0" borderId="22" xfId="0" applyFont="1" applyBorder="1" applyAlignment="1">
      <alignment/>
    </xf>
    <xf numFmtId="0" fontId="21" fillId="0" borderId="30" xfId="0" applyFont="1" applyBorder="1" applyAlignment="1">
      <alignment/>
    </xf>
    <xf numFmtId="0" fontId="23" fillId="36" borderId="31" xfId="0" applyFont="1" applyFill="1" applyBorder="1" applyAlignment="1">
      <alignment horizontal="left"/>
    </xf>
    <xf numFmtId="10" fontId="21" fillId="36" borderId="32" xfId="48" applyNumberFormat="1" applyFont="1" applyFill="1" applyBorder="1" applyAlignment="1" applyProtection="1">
      <alignment horizontal="center"/>
      <protection/>
    </xf>
    <xf numFmtId="0" fontId="2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165" fontId="22" fillId="0" borderId="28" xfId="44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165" fontId="21" fillId="33" borderId="22" xfId="44" applyFont="1" applyFill="1" applyBorder="1" applyAlignment="1" applyProtection="1">
      <alignment horizontal="center"/>
      <protection/>
    </xf>
    <xf numFmtId="165" fontId="31" fillId="0" borderId="0" xfId="44" applyFont="1" applyFill="1" applyBorder="1" applyAlignment="1" applyProtection="1">
      <alignment horizontal="justify" vertical="center"/>
      <protection/>
    </xf>
    <xf numFmtId="165" fontId="22" fillId="33" borderId="11" xfId="44" applyFont="1" applyFill="1" applyBorder="1" applyAlignment="1" applyProtection="1">
      <alignment horizontal="center" vertical="justify"/>
      <protection/>
    </xf>
    <xf numFmtId="165" fontId="22" fillId="33" borderId="22" xfId="44" applyFont="1" applyFill="1" applyBorder="1" applyAlignment="1" applyProtection="1">
      <alignment horizontal="center" vertical="justify"/>
      <protection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36" borderId="36" xfId="0" applyFont="1" applyFill="1" applyBorder="1" applyAlignment="1">
      <alignment/>
    </xf>
    <xf numFmtId="0" fontId="8" fillId="35" borderId="37" xfId="0" applyFont="1" applyFill="1" applyBorder="1" applyAlignment="1">
      <alignment horizontal="left"/>
    </xf>
    <xf numFmtId="0" fontId="9" fillId="0" borderId="33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36" borderId="11" xfId="0" applyFont="1" applyFill="1" applyBorder="1" applyAlignment="1">
      <alignment horizontal="left"/>
    </xf>
    <xf numFmtId="0" fontId="19" fillId="36" borderId="33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27" xfId="0" applyFont="1" applyFill="1" applyBorder="1" applyAlignment="1">
      <alignment horizontal="center" wrapText="1"/>
    </xf>
    <xf numFmtId="9" fontId="21" fillId="33" borderId="25" xfId="48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4829175</xdr:colOff>
      <xdr:row>0</xdr:row>
      <xdr:rowOff>1171575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0</xdr:row>
      <xdr:rowOff>1028700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352425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1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="70" zoomScaleNormal="70" zoomScaleSheetLayoutView="115" zoomScalePageLayoutView="0" workbookViewId="0" topLeftCell="A4">
      <selection activeCell="F16" sqref="F16"/>
    </sheetView>
  </sheetViews>
  <sheetFormatPr defaultColWidth="11.421875" defaultRowHeight="12.75"/>
  <cols>
    <col min="1" max="1" width="11.421875" style="0" customWidth="1"/>
    <col min="2" max="2" width="76.8515625" style="0" bestFit="1" customWidth="1"/>
    <col min="3" max="3" width="10.8515625" style="0" customWidth="1"/>
    <col min="4" max="5" width="22.421875" style="0" customWidth="1"/>
    <col min="6" max="6" width="25.140625" style="0" customWidth="1"/>
  </cols>
  <sheetData>
    <row r="1" ht="137.25" customHeight="1" thickBot="1">
      <c r="E1" t="s">
        <v>129</v>
      </c>
    </row>
    <row r="2" spans="1:6" ht="16.5" thickBot="1">
      <c r="A2" s="176" t="s">
        <v>0</v>
      </c>
      <c r="B2" s="176"/>
      <c r="C2" s="176"/>
      <c r="D2" s="176"/>
      <c r="E2" s="176"/>
      <c r="F2" s="176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6.5" thickBot="1">
      <c r="A5" s="1"/>
      <c r="B5" s="1"/>
      <c r="C5" s="2"/>
      <c r="D5" s="2"/>
      <c r="E5" s="1"/>
      <c r="F5" s="1"/>
    </row>
    <row r="6" spans="1:6" ht="15.75">
      <c r="A6" s="177" t="s">
        <v>1</v>
      </c>
      <c r="B6" s="177"/>
      <c r="C6" s="177"/>
      <c r="D6" s="177"/>
      <c r="E6" s="177"/>
      <c r="F6" s="177"/>
    </row>
    <row r="7" spans="1:6" s="9" customFormat="1" ht="30">
      <c r="A7" s="3" t="s">
        <v>2</v>
      </c>
      <c r="B7" s="4" t="s">
        <v>3</v>
      </c>
      <c r="C7" s="5" t="s">
        <v>4</v>
      </c>
      <c r="D7" s="6" t="s">
        <v>126</v>
      </c>
      <c r="E7" s="7" t="s">
        <v>5</v>
      </c>
      <c r="F7" s="8" t="s">
        <v>6</v>
      </c>
    </row>
    <row r="8" spans="1:6" s="16" customFormat="1" ht="14.25">
      <c r="A8" s="10">
        <v>1</v>
      </c>
      <c r="B8" s="11" t="str">
        <f>'AUXILIAR DE COZINHA 40 h'!C16&amp;" "&amp;"40H"</f>
        <v>AUXILIAR DE COZINHA - C.B.O: 5135-05 40H</v>
      </c>
      <c r="C8" s="12">
        <v>1</v>
      </c>
      <c r="D8" s="13">
        <f>+'AUXILIAR DE COZINHA 40 h'!C101</f>
        <v>2788.267072727273</v>
      </c>
      <c r="E8" s="14">
        <f>+D8*C8</f>
        <v>2788.267072727273</v>
      </c>
      <c r="F8" s="15">
        <f>E8*12</f>
        <v>33459.20487272728</v>
      </c>
    </row>
    <row r="9" spans="1:6" s="16" customFormat="1" ht="14.25">
      <c r="A9" s="10">
        <v>2</v>
      </c>
      <c r="B9" s="11" t="s">
        <v>133</v>
      </c>
      <c r="C9" s="12">
        <v>2</v>
      </c>
      <c r="D9" s="14">
        <f>+'AUXILIAR DE COZINHA 20 H'!C101</f>
        <v>1621.6725363636363</v>
      </c>
      <c r="E9" s="14">
        <f>+D9*C9</f>
        <v>3243.3450727272725</v>
      </c>
      <c r="F9" s="15">
        <f>E9*12</f>
        <v>38920.14087272727</v>
      </c>
    </row>
    <row r="10" spans="1:6" s="16" customFormat="1" ht="14.25">
      <c r="A10" s="10">
        <v>3</v>
      </c>
      <c r="B10" s="11" t="str">
        <f>'AUX DE LIMPEZA 20H'!C16</f>
        <v>SERVENTE / AUXILIAR DE LIMPEZA E SERVICOS GERAIS 20h - C.B.O: 5143</v>
      </c>
      <c r="C10" s="12">
        <v>11</v>
      </c>
      <c r="D10" s="13">
        <f>+'AUX DE LIMPEZA 20H'!C101</f>
        <v>2059.4505363636363</v>
      </c>
      <c r="E10" s="14">
        <f>+D10*C10</f>
        <v>22653.9559</v>
      </c>
      <c r="F10" s="15">
        <f>E10*12</f>
        <v>271847.4708</v>
      </c>
    </row>
    <row r="11" spans="1:6" s="16" customFormat="1" ht="14.25">
      <c r="A11" s="10">
        <v>4</v>
      </c>
      <c r="B11" s="17" t="str">
        <f>'AUX DE LIMPEZA 40H'!C16</f>
        <v>SERVENTE / AUXILIAR DE LIMPEZA E SERVICOS GERAIS 40h - C.B.O: 5143</v>
      </c>
      <c r="C11" s="18">
        <v>6</v>
      </c>
      <c r="D11" s="13">
        <f>+'AUX DE LIMPEZA 40H'!C101</f>
        <v>3226.035072727273</v>
      </c>
      <c r="E11" s="14">
        <f>+D11*C11</f>
        <v>19356.21043636364</v>
      </c>
      <c r="F11" s="15">
        <f>E11*12</f>
        <v>232274.52523636367</v>
      </c>
    </row>
    <row r="12" spans="1:6" s="16" customFormat="1" ht="14.25">
      <c r="A12" s="10">
        <v>5</v>
      </c>
      <c r="B12" s="17" t="s">
        <v>127</v>
      </c>
      <c r="C12" s="18">
        <v>6</v>
      </c>
      <c r="D12" s="13">
        <f>+'VIGILANTE 40 HORAS'!C101</f>
        <v>3547.237981818182</v>
      </c>
      <c r="E12" s="14">
        <f>+D12*C12</f>
        <v>21283.427890909094</v>
      </c>
      <c r="F12" s="15">
        <f>E12*12</f>
        <v>255401.13469090912</v>
      </c>
    </row>
    <row r="13" spans="1:6" ht="15">
      <c r="A13" s="19"/>
      <c r="B13" s="20"/>
      <c r="C13" s="21"/>
      <c r="D13" s="13"/>
      <c r="E13" s="22"/>
      <c r="F13" s="23"/>
    </row>
    <row r="14" spans="1:6" ht="16.5" thickBot="1">
      <c r="A14" s="179" t="s">
        <v>7</v>
      </c>
      <c r="B14" s="179"/>
      <c r="C14" s="24">
        <f>SUM(C8:C13)</f>
        <v>26</v>
      </c>
      <c r="D14" s="24"/>
      <c r="E14" s="25">
        <f>SUM(E8:E13)</f>
        <v>69325.20637272728</v>
      </c>
      <c r="F14" s="26">
        <f>SUM(F8:F13)</f>
        <v>831902.4764727273</v>
      </c>
    </row>
    <row r="15" spans="1:6" ht="13.5" thickBot="1">
      <c r="A15" s="27"/>
      <c r="B15" s="28"/>
      <c r="C15" s="28"/>
      <c r="D15" s="28"/>
      <c r="E15" s="28"/>
      <c r="F15" s="28"/>
    </row>
    <row r="16" spans="1:4" ht="15.75">
      <c r="A16" s="180" t="s">
        <v>9</v>
      </c>
      <c r="B16" s="180"/>
      <c r="C16" s="180"/>
      <c r="D16" s="29"/>
    </row>
    <row r="17" spans="1:4" ht="15">
      <c r="A17" s="30" t="s">
        <v>2</v>
      </c>
      <c r="B17" s="31" t="s">
        <v>3</v>
      </c>
      <c r="C17" s="32" t="s">
        <v>10</v>
      </c>
      <c r="D17" s="33"/>
    </row>
    <row r="18" spans="1:4" ht="20.25">
      <c r="A18" s="34">
        <v>1</v>
      </c>
      <c r="B18" s="35" t="s">
        <v>11</v>
      </c>
      <c r="C18" s="36"/>
      <c r="D18" s="37"/>
    </row>
    <row r="19" spans="1:6" ht="13.5" thickBot="1">
      <c r="A19" s="27"/>
      <c r="B19" s="28"/>
      <c r="C19" s="28"/>
      <c r="D19" s="38"/>
      <c r="E19" s="28"/>
      <c r="F19" s="28"/>
    </row>
    <row r="20" spans="1:4" ht="15.75">
      <c r="A20" s="180" t="s">
        <v>12</v>
      </c>
      <c r="B20" s="180"/>
      <c r="C20" s="180"/>
      <c r="D20" s="29"/>
    </row>
    <row r="21" spans="1:4" ht="15">
      <c r="A21" s="30" t="s">
        <v>2</v>
      </c>
      <c r="B21" s="31" t="s">
        <v>3</v>
      </c>
      <c r="C21" s="32" t="s">
        <v>10</v>
      </c>
      <c r="D21" s="33"/>
    </row>
    <row r="22" spans="1:4" ht="20.25">
      <c r="A22" s="34">
        <v>1</v>
      </c>
      <c r="B22" s="35" t="s">
        <v>13</v>
      </c>
      <c r="C22" s="39"/>
      <c r="D22" s="40"/>
    </row>
    <row r="23" spans="1:4" ht="21" thickBot="1">
      <c r="A23" s="41">
        <v>2</v>
      </c>
      <c r="B23" s="42" t="s">
        <v>14</v>
      </c>
      <c r="C23" s="43"/>
      <c r="D23" s="40"/>
    </row>
    <row r="24" spans="1:4" ht="21" thickBot="1">
      <c r="A24" s="41">
        <v>3</v>
      </c>
      <c r="B24" s="42" t="s">
        <v>15</v>
      </c>
      <c r="C24" s="44">
        <f>SUM(C26:C28)</f>
        <v>0</v>
      </c>
      <c r="D24" s="40"/>
    </row>
    <row r="25" spans="1:6" ht="12.75">
      <c r="A25" s="27"/>
      <c r="B25" s="28"/>
      <c r="C25" s="28"/>
      <c r="D25" s="28"/>
      <c r="E25" s="28"/>
      <c r="F25" s="28"/>
    </row>
    <row r="26" spans="1:6" ht="21" thickBot="1">
      <c r="A26" s="27"/>
      <c r="B26" s="45" t="s">
        <v>16</v>
      </c>
      <c r="C26" s="46"/>
      <c r="D26" s="28"/>
      <c r="E26" s="28"/>
      <c r="F26" s="28"/>
    </row>
    <row r="27" spans="1:6" ht="21" thickBot="1">
      <c r="A27" s="27"/>
      <c r="B27" s="45" t="s">
        <v>17</v>
      </c>
      <c r="C27" s="46"/>
      <c r="D27" s="28"/>
      <c r="E27" s="28"/>
      <c r="F27" s="28"/>
    </row>
    <row r="28" spans="1:6" ht="21" thickBot="1">
      <c r="A28" s="27"/>
      <c r="B28" s="45" t="s">
        <v>18</v>
      </c>
      <c r="C28" s="46"/>
      <c r="D28" s="28"/>
      <c r="E28" s="28"/>
      <c r="F28" s="28"/>
    </row>
    <row r="29" spans="1:6" ht="12.75">
      <c r="A29" s="27"/>
      <c r="B29" s="28"/>
      <c r="C29" s="28"/>
      <c r="D29" s="28"/>
      <c r="E29" s="28"/>
      <c r="F29" s="28"/>
    </row>
    <row r="30" spans="1:6" ht="12.75">
      <c r="A30" s="27"/>
      <c r="B30" s="28"/>
      <c r="C30" s="28"/>
      <c r="D30" s="28"/>
      <c r="E30" s="28"/>
      <c r="F30" s="28"/>
    </row>
    <row r="31" spans="1:6" ht="12.75">
      <c r="A31" s="27"/>
      <c r="B31" s="28"/>
      <c r="C31" s="28"/>
      <c r="D31" s="28"/>
      <c r="E31" s="28"/>
      <c r="F31" s="28"/>
    </row>
    <row r="32" spans="1:6" ht="15.75" thickBot="1">
      <c r="A32" s="27"/>
      <c r="B32" s="28"/>
      <c r="C32" s="28"/>
      <c r="D32" s="28"/>
      <c r="E32" s="7" t="s">
        <v>5</v>
      </c>
      <c r="F32" s="8" t="s">
        <v>6</v>
      </c>
    </row>
    <row r="33" spans="1:6" ht="18.75" thickBot="1">
      <c r="A33" s="181" t="s">
        <v>19</v>
      </c>
      <c r="B33" s="181"/>
      <c r="C33" s="181"/>
      <c r="D33" s="47"/>
      <c r="E33" s="48">
        <f>E14</f>
        <v>69325.20637272728</v>
      </c>
      <c r="F33" s="48">
        <f>F14</f>
        <v>831902.4764727273</v>
      </c>
    </row>
    <row r="34" spans="1:6" ht="12.75">
      <c r="A34" s="27"/>
      <c r="B34" s="28"/>
      <c r="C34" s="28"/>
      <c r="D34" s="28"/>
      <c r="E34" s="28"/>
      <c r="F34" s="28"/>
    </row>
    <row r="35" spans="1:6" ht="13.5" thickBot="1">
      <c r="A35" s="27"/>
      <c r="B35" s="28"/>
      <c r="C35" s="28"/>
      <c r="D35" s="28"/>
      <c r="E35" s="28"/>
      <c r="F35" s="28"/>
    </row>
    <row r="36" spans="1:6" ht="91.5" customHeight="1" thickBot="1">
      <c r="A36" s="182" t="s">
        <v>20</v>
      </c>
      <c r="B36" s="182"/>
      <c r="C36" s="182"/>
      <c r="D36" s="182"/>
      <c r="E36" s="182"/>
      <c r="F36" s="182"/>
    </row>
    <row r="37" spans="1:6" ht="12.75">
      <c r="A37" s="27"/>
      <c r="B37" s="28"/>
      <c r="C37" s="28"/>
      <c r="D37" s="28"/>
      <c r="E37" s="28"/>
      <c r="F37" s="28"/>
    </row>
    <row r="38" spans="1:6" ht="13.5" thickBot="1">
      <c r="A38" s="49"/>
      <c r="B38" s="50"/>
      <c r="C38" s="50"/>
      <c r="D38" s="50"/>
      <c r="E38" s="50"/>
      <c r="F38" s="50"/>
    </row>
    <row r="39" spans="1:6" ht="12.75" hidden="1">
      <c r="A39" s="27"/>
      <c r="B39" s="28"/>
      <c r="C39" s="28"/>
      <c r="D39" s="28"/>
      <c r="E39" s="28"/>
      <c r="F39" s="28"/>
    </row>
    <row r="40" spans="1:6" ht="12.75" hidden="1">
      <c r="A40" s="27"/>
      <c r="B40" s="28"/>
      <c r="C40" s="28"/>
      <c r="D40" s="28"/>
      <c r="E40" s="28"/>
      <c r="F40" s="28"/>
    </row>
    <row r="41" spans="1:6" ht="16.5" hidden="1" thickBot="1">
      <c r="A41" s="176" t="s">
        <v>21</v>
      </c>
      <c r="B41" s="176"/>
      <c r="C41" s="176"/>
      <c r="D41" s="176"/>
      <c r="E41" s="176"/>
      <c r="F41" s="51"/>
    </row>
    <row r="42" spans="1:5" ht="15" hidden="1">
      <c r="A42" s="30" t="s">
        <v>2</v>
      </c>
      <c r="B42" s="31" t="s">
        <v>3</v>
      </c>
      <c r="C42" s="31" t="s">
        <v>10</v>
      </c>
      <c r="D42" s="52"/>
      <c r="E42" s="53" t="s">
        <v>6</v>
      </c>
    </row>
    <row r="43" spans="1:5" ht="19.5" hidden="1">
      <c r="A43" s="54">
        <v>1</v>
      </c>
      <c r="B43" s="55" t="s">
        <v>22</v>
      </c>
      <c r="C43" s="56">
        <f>C22</f>
        <v>0</v>
      </c>
      <c r="D43" s="57"/>
      <c r="E43" s="58" t="e">
        <f>#REF!*12</f>
        <v>#REF!</v>
      </c>
    </row>
    <row r="44" spans="1:5" ht="19.5" hidden="1">
      <c r="A44" s="54">
        <v>2</v>
      </c>
      <c r="B44" s="55" t="s">
        <v>23</v>
      </c>
      <c r="C44" s="56">
        <f>C23</f>
        <v>0</v>
      </c>
      <c r="D44" s="57"/>
      <c r="E44" s="58" t="e">
        <f>#REF!*12</f>
        <v>#REF!</v>
      </c>
    </row>
    <row r="45" spans="1:5" ht="19.5" hidden="1">
      <c r="A45" s="59"/>
      <c r="B45" s="60"/>
      <c r="C45" s="61"/>
      <c r="D45" s="61"/>
      <c r="E45" s="62"/>
    </row>
    <row r="46" spans="1:5" ht="20.25" hidden="1" thickBot="1">
      <c r="A46" s="178" t="s">
        <v>24</v>
      </c>
      <c r="B46" s="178"/>
      <c r="C46" s="63">
        <f>C43+C44</f>
        <v>0</v>
      </c>
      <c r="D46" s="63"/>
      <c r="E46" s="64" t="e">
        <f>E43+E44</f>
        <v>#REF!</v>
      </c>
    </row>
  </sheetData>
  <sheetProtection selectLockedCells="1" selectUnlockedCells="1"/>
  <mergeCells count="9">
    <mergeCell ref="A2:F2"/>
    <mergeCell ref="A6:F6"/>
    <mergeCell ref="A46:B46"/>
    <mergeCell ref="A14:B14"/>
    <mergeCell ref="A16:C16"/>
    <mergeCell ref="A20:C20"/>
    <mergeCell ref="A33:C33"/>
    <mergeCell ref="A36:F36"/>
    <mergeCell ref="A41:E41"/>
  </mergeCells>
  <dataValidations count="3">
    <dataValidation type="decimal" operator="greaterThan" allowBlank="1" showErrorMessage="1" errorTitle="EM DESACORDO" error="Edital  Item 10.3, subitem &quot;A&quot;:&#10;a) para o RAT Ajustado (B1) será admitida alíquota com, no máximo, 04 (quatro) casas decimais;" sqref="C18">
      <formula1>0.00009</formula1>
    </dataValidation>
    <dataValidation type="decimal" operator="greaterThan" allowBlank="1" showErrorMessage="1" sqref="C23">
      <formula1>0.09</formula1>
    </dataValidation>
    <dataValidation operator="greaterThan" allowBlank="1" showErrorMessage="1" sqref="C22">
      <formula1>0</formula1>
    </dataValidation>
  </dataValidations>
  <printOptions/>
  <pageMargins left="0.39375" right="0.39375" top="1.0631944444444446" bottom="1.0631944444444446" header="0.7875" footer="0.7875"/>
  <pageSetup fitToHeight="1" fitToWidth="1" horizontalDpi="300" verticalDpi="300" orientation="portrait" paperSize="9" scale="57" r:id="rId4"/>
  <headerFooter alignWithMargins="0">
    <oddHeader>&amp;C&amp;"Times New Roman,Normal"&amp;12&amp;A</oddHeader>
    <oddFooter>&amp;C&amp;"Times New Roman,Normal"&amp;12Página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7">
      <selection activeCell="C24" sqref="C24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42187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02.75" customHeight="1">
      <c r="C1" s="173" t="s">
        <v>132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15.75" customHeight="1">
      <c r="A9" s="82" t="s">
        <v>31</v>
      </c>
      <c r="B9" s="80" t="s">
        <v>8</v>
      </c>
      <c r="C9" s="83" t="s">
        <v>111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30.75" customHeight="1">
      <c r="A16" s="89" t="s">
        <v>37</v>
      </c>
      <c r="B16" s="93"/>
      <c r="C16" s="174" t="s">
        <v>130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f>C15/220*B23</f>
        <v>1194.6272727272726</v>
      </c>
    </row>
    <row r="24" spans="1:3" ht="13.5">
      <c r="A24" s="105" t="s">
        <v>47</v>
      </c>
      <c r="B24" s="106">
        <v>20</v>
      </c>
      <c r="C24" s="104">
        <f>C15*B24%</f>
        <v>262.818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1457.4452727272726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291.49</v>
      </c>
    </row>
    <row r="35" spans="1:3" ht="13.5">
      <c r="A35" s="89" t="s">
        <v>55</v>
      </c>
      <c r="B35" s="113">
        <v>0.015</v>
      </c>
      <c r="C35" s="115">
        <f t="shared" si="0"/>
        <v>21.86</v>
      </c>
    </row>
    <row r="36" spans="1:3" ht="13.5">
      <c r="A36" s="89" t="s">
        <v>56</v>
      </c>
      <c r="B36" s="113">
        <v>0.01</v>
      </c>
      <c r="C36" s="115">
        <f t="shared" si="0"/>
        <v>14.57</v>
      </c>
    </row>
    <row r="37" spans="1:3" ht="13.5">
      <c r="A37" s="89" t="s">
        <v>57</v>
      </c>
      <c r="B37" s="113">
        <v>0.002</v>
      </c>
      <c r="C37" s="115">
        <f t="shared" si="0"/>
        <v>2.91</v>
      </c>
    </row>
    <row r="38" spans="1:3" ht="13.5">
      <c r="A38" s="89" t="s">
        <v>58</v>
      </c>
      <c r="B38" s="113">
        <v>0.025</v>
      </c>
      <c r="C38" s="115">
        <f t="shared" si="0"/>
        <v>36.44</v>
      </c>
    </row>
    <row r="39" spans="1:3" ht="13.5">
      <c r="A39" s="89" t="s">
        <v>59</v>
      </c>
      <c r="B39" s="113">
        <v>0.08</v>
      </c>
      <c r="C39" s="115">
        <f t="shared" si="0"/>
        <v>116.6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8.74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492.61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121.41</v>
      </c>
    </row>
    <row r="48" spans="1:3" ht="13.5">
      <c r="A48" s="120" t="s">
        <v>66</v>
      </c>
      <c r="B48" s="121">
        <v>0.0833</v>
      </c>
      <c r="C48" s="122">
        <f t="shared" si="1"/>
        <v>121.41</v>
      </c>
    </row>
    <row r="49" spans="1:3" ht="13.5">
      <c r="A49" s="89" t="s">
        <v>67</v>
      </c>
      <c r="B49" s="113">
        <v>0.0278</v>
      </c>
      <c r="C49" s="122">
        <f t="shared" si="1"/>
        <v>40.52</v>
      </c>
    </row>
    <row r="50" spans="1:3" ht="13.5">
      <c r="A50" s="89" t="s">
        <v>68</v>
      </c>
      <c r="B50" s="113">
        <v>0.0166</v>
      </c>
      <c r="C50" s="122">
        <f t="shared" si="1"/>
        <v>24.19</v>
      </c>
    </row>
    <row r="51" spans="1:3" ht="13.5">
      <c r="A51" s="123" t="s">
        <v>69</v>
      </c>
      <c r="B51" s="124">
        <v>0.001</v>
      </c>
      <c r="C51" s="122">
        <f t="shared" si="1"/>
        <v>1.46</v>
      </c>
    </row>
    <row r="52" spans="1:3" ht="13.5">
      <c r="A52" s="89" t="s">
        <v>70</v>
      </c>
      <c r="B52" s="113">
        <v>0.0028</v>
      </c>
      <c r="C52" s="122">
        <f t="shared" si="1"/>
        <v>4.08</v>
      </c>
    </row>
    <row r="53" spans="1:3" ht="13.5">
      <c r="A53" s="116" t="s">
        <v>71</v>
      </c>
      <c r="B53" s="117">
        <v>0.0003</v>
      </c>
      <c r="C53" s="122">
        <f t="shared" si="1"/>
        <v>0.44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313.51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10.06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1.17</v>
      </c>
    </row>
    <row r="59" spans="1:3" ht="13.5">
      <c r="A59" s="89" t="s">
        <v>76</v>
      </c>
      <c r="B59" s="113">
        <v>0.032</v>
      </c>
      <c r="C59" s="122">
        <f>ROUND(C$30*B59,2)</f>
        <v>46.64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57.87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105.96</v>
      </c>
    </row>
    <row r="64" spans="1:3" ht="13.5">
      <c r="A64" s="128" t="s">
        <v>80</v>
      </c>
      <c r="B64" s="124">
        <v>0.0001</v>
      </c>
      <c r="C64" s="129">
        <f>ROUND(C30*B64,2)/5</f>
        <v>0.03</v>
      </c>
    </row>
    <row r="65" spans="1:3" ht="22.5">
      <c r="A65" s="128" t="s">
        <v>81</v>
      </c>
      <c r="B65" s="124">
        <v>0.0001</v>
      </c>
      <c r="C65" s="129">
        <f>ROUND(C30*B65,2)/5</f>
        <v>0.03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106.25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477.63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2427.6852727272726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121</v>
      </c>
      <c r="B73" s="138">
        <v>20.18</v>
      </c>
      <c r="C73" s="104">
        <f>(B73*21)</f>
        <v>423.78</v>
      </c>
    </row>
    <row r="74" spans="1:3" ht="13.5">
      <c r="A74" s="89" t="s">
        <v>122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2427.6852727272726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2788.267072727273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33459.20487272728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70" zoomScaleNormal="70" zoomScaleSheetLayoutView="100" zoomScalePageLayoutView="0" workbookViewId="0" topLeftCell="A52">
      <selection activeCell="B74" sqref="B74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131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4</v>
      </c>
      <c r="C8" s="81" t="s">
        <v>123</v>
      </c>
    </row>
    <row r="9" spans="1:3" ht="15" customHeight="1">
      <c r="A9" s="82" t="s">
        <v>31</v>
      </c>
      <c r="B9" s="171" t="s">
        <v>8</v>
      </c>
      <c r="C9" s="83" t="s">
        <v>124</v>
      </c>
    </row>
    <row r="10" spans="1:3" ht="15.75">
      <c r="A10" s="79" t="s">
        <v>32</v>
      </c>
      <c r="B10" s="84">
        <v>100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8.5">
      <c r="A16" s="89" t="s">
        <v>37</v>
      </c>
      <c r="B16" s="93"/>
      <c r="C16" s="174" t="s">
        <v>130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100</v>
      </c>
      <c r="C23" s="104">
        <f>C15/220*B23</f>
        <v>597.3136363636363</v>
      </c>
    </row>
    <row r="24" spans="1:3" ht="13.5">
      <c r="A24" s="105" t="s">
        <v>47</v>
      </c>
      <c r="B24" s="106">
        <v>20</v>
      </c>
      <c r="C24" s="104">
        <f>C15*B24%</f>
        <v>262.818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860.1316363636363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172.03</v>
      </c>
    </row>
    <row r="35" spans="1:3" ht="13.5">
      <c r="A35" s="89" t="s">
        <v>55</v>
      </c>
      <c r="B35" s="113">
        <v>0.015</v>
      </c>
      <c r="C35" s="115">
        <f t="shared" si="0"/>
        <v>12.9</v>
      </c>
    </row>
    <row r="36" spans="1:3" ht="13.5">
      <c r="A36" s="89" t="s">
        <v>56</v>
      </c>
      <c r="B36" s="113">
        <v>0.01</v>
      </c>
      <c r="C36" s="115">
        <f t="shared" si="0"/>
        <v>8.6</v>
      </c>
    </row>
    <row r="37" spans="1:3" ht="13.5">
      <c r="A37" s="89" t="s">
        <v>57</v>
      </c>
      <c r="B37" s="113">
        <v>0.002</v>
      </c>
      <c r="C37" s="115">
        <f t="shared" si="0"/>
        <v>1.72</v>
      </c>
    </row>
    <row r="38" spans="1:3" ht="13.5">
      <c r="A38" s="89" t="s">
        <v>58</v>
      </c>
      <c r="B38" s="113">
        <v>0.025</v>
      </c>
      <c r="C38" s="115">
        <f t="shared" si="0"/>
        <v>21.5</v>
      </c>
    </row>
    <row r="39" spans="1:3" ht="13.5">
      <c r="A39" s="89" t="s">
        <v>59</v>
      </c>
      <c r="B39" s="113">
        <v>0.08</v>
      </c>
      <c r="C39" s="115">
        <f t="shared" si="0"/>
        <v>68.81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5.16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290.72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71.65</v>
      </c>
    </row>
    <row r="48" spans="1:3" ht="13.5">
      <c r="A48" s="120" t="s">
        <v>66</v>
      </c>
      <c r="B48" s="121">
        <v>0.0833</v>
      </c>
      <c r="C48" s="122">
        <f t="shared" si="1"/>
        <v>71.65</v>
      </c>
    </row>
    <row r="49" spans="1:3" ht="13.5">
      <c r="A49" s="89" t="s">
        <v>67</v>
      </c>
      <c r="B49" s="113">
        <v>0.0278</v>
      </c>
      <c r="C49" s="122">
        <f t="shared" si="1"/>
        <v>23.91</v>
      </c>
    </row>
    <row r="50" spans="1:3" ht="13.5">
      <c r="A50" s="89" t="s">
        <v>68</v>
      </c>
      <c r="B50" s="113">
        <v>0.0166</v>
      </c>
      <c r="C50" s="122">
        <f t="shared" si="1"/>
        <v>14.28</v>
      </c>
    </row>
    <row r="51" spans="1:3" ht="13.5">
      <c r="A51" s="123" t="s">
        <v>69</v>
      </c>
      <c r="B51" s="124">
        <v>0.001</v>
      </c>
      <c r="C51" s="122">
        <f t="shared" si="1"/>
        <v>0.86</v>
      </c>
    </row>
    <row r="52" spans="1:3" ht="13.5">
      <c r="A52" s="89" t="s">
        <v>70</v>
      </c>
      <c r="B52" s="113">
        <v>0.0028</v>
      </c>
      <c r="C52" s="122">
        <f t="shared" si="1"/>
        <v>2.41</v>
      </c>
    </row>
    <row r="53" spans="1:3" ht="13.5">
      <c r="A53" s="116" t="s">
        <v>71</v>
      </c>
      <c r="B53" s="117">
        <v>0.0003</v>
      </c>
      <c r="C53" s="122">
        <f t="shared" si="1"/>
        <v>0.26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185.02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5.93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0.69</v>
      </c>
    </row>
    <row r="59" spans="1:3" ht="13.5">
      <c r="A59" s="89" t="s">
        <v>76</v>
      </c>
      <c r="B59" s="113">
        <v>0.032</v>
      </c>
      <c r="C59" s="122">
        <f>ROUND(C$30*B59,2)</f>
        <v>27.52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34.14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62.53</v>
      </c>
    </row>
    <row r="64" spans="1:3" ht="13.5">
      <c r="A64" s="128" t="s">
        <v>80</v>
      </c>
      <c r="B64" s="124">
        <v>0.0001</v>
      </c>
      <c r="C64" s="129">
        <f>ROUND(C30*B64,2)/5</f>
        <v>0.018</v>
      </c>
    </row>
    <row r="65" spans="1:3" ht="22.5">
      <c r="A65" s="128" t="s">
        <v>81</v>
      </c>
      <c r="B65" s="124">
        <v>0.0001</v>
      </c>
      <c r="C65" s="129">
        <f>ROUND(C30*B65,2)/5</f>
        <v>0.018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62.71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281.87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1432.7216363636364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121</v>
      </c>
      <c r="B73" s="138">
        <v>10.09</v>
      </c>
      <c r="C73" s="104">
        <f>(B73*21)</f>
        <v>211.89</v>
      </c>
    </row>
    <row r="74" spans="1:3" ht="13.5">
      <c r="A74" s="89" t="s">
        <v>122</v>
      </c>
      <c r="B74" s="124">
        <v>0.19</v>
      </c>
      <c r="C74" s="104">
        <f>-B74*C73</f>
        <v>-40.2591</v>
      </c>
    </row>
    <row r="75" spans="1:3" s="111" customFormat="1" ht="13.5">
      <c r="A75" s="112" t="s">
        <v>86</v>
      </c>
      <c r="B75" s="139" t="s">
        <v>8</v>
      </c>
      <c r="C75" s="125">
        <f>SUM(C73:C74)</f>
        <v>171.6309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1432.7216363636364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171.6309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1621.6725363636363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19460.070436363636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zoomScale="85" zoomScaleNormal="85" zoomScaleSheetLayoutView="115" zoomScalePageLayoutView="0" workbookViewId="0" topLeftCell="A55">
      <selection activeCell="B74" sqref="B74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119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4</v>
      </c>
      <c r="C8" s="81" t="s">
        <v>123</v>
      </c>
    </row>
    <row r="9" spans="1:3" ht="15" customHeight="1">
      <c r="A9" s="82" t="s">
        <v>31</v>
      </c>
      <c r="B9" s="171" t="s">
        <v>8</v>
      </c>
      <c r="C9" s="83" t="s">
        <v>124</v>
      </c>
    </row>
    <row r="10" spans="1:3" ht="15.75">
      <c r="A10" s="79" t="s">
        <v>32</v>
      </c>
      <c r="B10" s="84">
        <v>100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7.75" customHeight="1">
      <c r="A16" s="89" t="s">
        <v>37</v>
      </c>
      <c r="B16" s="93"/>
      <c r="C16" s="174" t="s">
        <v>120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100</v>
      </c>
      <c r="C23" s="104">
        <f>C15/220*B23</f>
        <v>597.3136363636363</v>
      </c>
    </row>
    <row r="24" spans="1:3" ht="13.5">
      <c r="A24" s="105" t="s">
        <v>47</v>
      </c>
      <c r="B24" s="106">
        <v>40</v>
      </c>
      <c r="C24" s="104">
        <f>C15*B24%</f>
        <v>525.636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1122.9496363636363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224.59</v>
      </c>
    </row>
    <row r="35" spans="1:3" ht="13.5">
      <c r="A35" s="89" t="s">
        <v>55</v>
      </c>
      <c r="B35" s="113">
        <v>0.015</v>
      </c>
      <c r="C35" s="115">
        <f t="shared" si="0"/>
        <v>16.84</v>
      </c>
    </row>
    <row r="36" spans="1:3" ht="13.5">
      <c r="A36" s="89" t="s">
        <v>56</v>
      </c>
      <c r="B36" s="113">
        <v>0.01</v>
      </c>
      <c r="C36" s="115">
        <f t="shared" si="0"/>
        <v>11.23</v>
      </c>
    </row>
    <row r="37" spans="1:3" ht="13.5">
      <c r="A37" s="89" t="s">
        <v>57</v>
      </c>
      <c r="B37" s="113">
        <v>0.002</v>
      </c>
      <c r="C37" s="115">
        <f t="shared" si="0"/>
        <v>2.25</v>
      </c>
    </row>
    <row r="38" spans="1:3" ht="13.5">
      <c r="A38" s="89" t="s">
        <v>58</v>
      </c>
      <c r="B38" s="113">
        <v>0.025</v>
      </c>
      <c r="C38" s="115">
        <f t="shared" si="0"/>
        <v>28.07</v>
      </c>
    </row>
    <row r="39" spans="1:3" ht="13.5">
      <c r="A39" s="89" t="s">
        <v>59</v>
      </c>
      <c r="B39" s="113">
        <v>0.08</v>
      </c>
      <c r="C39" s="115">
        <f t="shared" si="0"/>
        <v>89.84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6.74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379.56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93.54</v>
      </c>
    </row>
    <row r="48" spans="1:3" ht="13.5">
      <c r="A48" s="120" t="s">
        <v>66</v>
      </c>
      <c r="B48" s="121">
        <v>0.0833</v>
      </c>
      <c r="C48" s="122">
        <f t="shared" si="1"/>
        <v>93.54</v>
      </c>
    </row>
    <row r="49" spans="1:3" ht="13.5">
      <c r="A49" s="89" t="s">
        <v>67</v>
      </c>
      <c r="B49" s="113">
        <v>0.0278</v>
      </c>
      <c r="C49" s="122">
        <f t="shared" si="1"/>
        <v>31.22</v>
      </c>
    </row>
    <row r="50" spans="1:3" ht="13.5">
      <c r="A50" s="89" t="s">
        <v>68</v>
      </c>
      <c r="B50" s="113">
        <v>0.0166</v>
      </c>
      <c r="C50" s="122">
        <f t="shared" si="1"/>
        <v>18.64</v>
      </c>
    </row>
    <row r="51" spans="1:3" ht="13.5">
      <c r="A51" s="123" t="s">
        <v>69</v>
      </c>
      <c r="B51" s="124">
        <v>0.001</v>
      </c>
      <c r="C51" s="122">
        <f t="shared" si="1"/>
        <v>1.12</v>
      </c>
    </row>
    <row r="52" spans="1:3" ht="13.5">
      <c r="A52" s="89" t="s">
        <v>70</v>
      </c>
      <c r="B52" s="113">
        <v>0.0028</v>
      </c>
      <c r="C52" s="122">
        <f t="shared" si="1"/>
        <v>3.14</v>
      </c>
    </row>
    <row r="53" spans="1:3" ht="13.5">
      <c r="A53" s="116" t="s">
        <v>71</v>
      </c>
      <c r="B53" s="117">
        <v>0.0003</v>
      </c>
      <c r="C53" s="122">
        <f t="shared" si="1"/>
        <v>0.34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241.54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7.75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0.9</v>
      </c>
    </row>
    <row r="59" spans="1:3" ht="13.5">
      <c r="A59" s="89" t="s">
        <v>76</v>
      </c>
      <c r="B59" s="113">
        <v>0.032</v>
      </c>
      <c r="C59" s="122">
        <f>ROUND(C$30*B59,2)</f>
        <v>35.93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44.58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</v>
      </c>
      <c r="C63" s="129">
        <f>ROUND(C30*B63,2)</f>
        <v>81.64</v>
      </c>
    </row>
    <row r="64" spans="1:3" ht="13.5">
      <c r="A64" s="128" t="s">
        <v>80</v>
      </c>
      <c r="B64" s="124">
        <v>0.0001</v>
      </c>
      <c r="C64" s="129">
        <f>ROUND(C30*B64,2)/5</f>
        <v>0.022</v>
      </c>
    </row>
    <row r="65" spans="1:3" ht="22.5">
      <c r="A65" s="128" t="s">
        <v>81</v>
      </c>
      <c r="B65" s="124">
        <v>0.0001</v>
      </c>
      <c r="C65" s="129">
        <f>ROUND(C30*B65,2)/5</f>
        <v>0.022</v>
      </c>
    </row>
    <row r="66" spans="1:3" s="132" customFormat="1" ht="13.5">
      <c r="A66" s="130" t="s">
        <v>82</v>
      </c>
      <c r="B66" s="131">
        <f>SUM(B63:B65)</f>
        <v>0.0729038</v>
      </c>
      <c r="C66" s="125">
        <f>ROUND(C$30*B66,2)</f>
        <v>81.87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367.99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1870.4996363636362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121</v>
      </c>
      <c r="B73" s="138">
        <v>10.09</v>
      </c>
      <c r="C73" s="104">
        <f>(B73*21)</f>
        <v>211.89</v>
      </c>
    </row>
    <row r="74" spans="1:3" ht="13.5">
      <c r="A74" s="89" t="s">
        <v>122</v>
      </c>
      <c r="B74" s="124">
        <v>0.19</v>
      </c>
      <c r="C74" s="104">
        <f>-B74*C73</f>
        <v>-40.2591</v>
      </c>
    </row>
    <row r="75" spans="1:3" s="111" customFormat="1" ht="13.5">
      <c r="A75" s="112" t="s">
        <v>86</v>
      </c>
      <c r="B75" s="139" t="s">
        <v>8</v>
      </c>
      <c r="C75" s="125">
        <f>SUM(C73:C74)</f>
        <v>171.6309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1870.4996363636362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171.6309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2059.4505363636363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24713.406436363635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10">
      <selection activeCell="C24" sqref="C24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9.00390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117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15" customHeight="1">
      <c r="A9" s="82" t="s">
        <v>31</v>
      </c>
      <c r="B9" s="171" t="s">
        <v>8</v>
      </c>
      <c r="C9" s="83" t="s">
        <v>116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1314.09</v>
      </c>
    </row>
    <row r="16" spans="1:3" s="92" customFormat="1" ht="27.75" customHeight="1">
      <c r="A16" s="89" t="s">
        <v>37</v>
      </c>
      <c r="B16" s="93"/>
      <c r="C16" s="174" t="s">
        <v>118</v>
      </c>
    </row>
    <row r="17" spans="1:3" ht="13.5">
      <c r="A17" s="89" t="s">
        <v>38</v>
      </c>
      <c r="B17" s="94"/>
      <c r="C17" s="77" t="s">
        <v>39</v>
      </c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 t="s">
        <v>42</v>
      </c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f>C15/220*B23</f>
        <v>1194.6272727272726</v>
      </c>
    </row>
    <row r="24" spans="1:3" ht="13.5">
      <c r="A24" s="105" t="s">
        <v>47</v>
      </c>
      <c r="B24" s="106">
        <v>40</v>
      </c>
      <c r="C24" s="104">
        <f>C15*B24%</f>
        <v>525.636</v>
      </c>
    </row>
    <row r="25" spans="1:3" ht="13.5">
      <c r="A25" s="105" t="s">
        <v>48</v>
      </c>
      <c r="B25" s="106">
        <v>0</v>
      </c>
      <c r="C25" s="104">
        <f>C23*B25%</f>
        <v>0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1720.2632727272726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344.05</v>
      </c>
    </row>
    <row r="35" spans="1:3" ht="13.5">
      <c r="A35" s="89" t="s">
        <v>55</v>
      </c>
      <c r="B35" s="113">
        <v>0.015</v>
      </c>
      <c r="C35" s="115">
        <f t="shared" si="0"/>
        <v>25.8</v>
      </c>
    </row>
    <row r="36" spans="1:3" ht="13.5">
      <c r="A36" s="89" t="s">
        <v>56</v>
      </c>
      <c r="B36" s="113">
        <v>0.01</v>
      </c>
      <c r="C36" s="115">
        <f t="shared" si="0"/>
        <v>17.2</v>
      </c>
    </row>
    <row r="37" spans="1:3" ht="13.5">
      <c r="A37" s="89" t="s">
        <v>57</v>
      </c>
      <c r="B37" s="113">
        <v>0.002</v>
      </c>
      <c r="C37" s="115">
        <f t="shared" si="0"/>
        <v>3.44</v>
      </c>
    </row>
    <row r="38" spans="1:3" ht="13.5">
      <c r="A38" s="89" t="s">
        <v>58</v>
      </c>
      <c r="B38" s="113">
        <v>0.025</v>
      </c>
      <c r="C38" s="115">
        <f t="shared" si="0"/>
        <v>43.01</v>
      </c>
    </row>
    <row r="39" spans="1:3" ht="13.5">
      <c r="A39" s="89" t="s">
        <v>59</v>
      </c>
      <c r="B39" s="113">
        <v>0.08</v>
      </c>
      <c r="C39" s="115">
        <f t="shared" si="0"/>
        <v>137.62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10.32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581.44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143.3</v>
      </c>
    </row>
    <row r="48" spans="1:3" ht="13.5">
      <c r="A48" s="120" t="s">
        <v>66</v>
      </c>
      <c r="B48" s="121">
        <v>0.0833</v>
      </c>
      <c r="C48" s="122">
        <f t="shared" si="1"/>
        <v>143.3</v>
      </c>
    </row>
    <row r="49" spans="1:3" ht="13.5">
      <c r="A49" s="89" t="s">
        <v>67</v>
      </c>
      <c r="B49" s="113">
        <v>0.0278</v>
      </c>
      <c r="C49" s="122">
        <f t="shared" si="1"/>
        <v>47.82</v>
      </c>
    </row>
    <row r="50" spans="1:3" ht="13.5">
      <c r="A50" s="89" t="s">
        <v>68</v>
      </c>
      <c r="B50" s="113">
        <v>0.0166</v>
      </c>
      <c r="C50" s="122">
        <f t="shared" si="1"/>
        <v>28.56</v>
      </c>
    </row>
    <row r="51" spans="1:3" ht="13.5">
      <c r="A51" s="123" t="s">
        <v>69</v>
      </c>
      <c r="B51" s="124">
        <v>0.001</v>
      </c>
      <c r="C51" s="122">
        <f t="shared" si="1"/>
        <v>1.72</v>
      </c>
    </row>
    <row r="52" spans="1:3" ht="13.5">
      <c r="A52" s="89" t="s">
        <v>70</v>
      </c>
      <c r="B52" s="113">
        <v>0.0028</v>
      </c>
      <c r="C52" s="122">
        <f t="shared" si="1"/>
        <v>4.82</v>
      </c>
    </row>
    <row r="53" spans="1:3" ht="13.5">
      <c r="A53" s="116" t="s">
        <v>71</v>
      </c>
      <c r="B53" s="117">
        <v>0.0003</v>
      </c>
      <c r="C53" s="122">
        <f t="shared" si="1"/>
        <v>0.52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370.04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11.87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1.38</v>
      </c>
    </row>
    <row r="59" spans="1:3" ht="13.5">
      <c r="A59" s="89" t="s">
        <v>76</v>
      </c>
      <c r="B59" s="113">
        <v>0.032</v>
      </c>
      <c r="C59" s="122">
        <f>ROUND(C$30*B59,2)</f>
        <v>55.05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68.3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125.07</v>
      </c>
    </row>
    <row r="64" spans="1:3" ht="13.5">
      <c r="A64" s="128" t="s">
        <v>80</v>
      </c>
      <c r="B64" s="124">
        <v>0.0001</v>
      </c>
      <c r="C64" s="129">
        <f>ROUND(C30*B64,2)/5</f>
        <v>0.034</v>
      </c>
    </row>
    <row r="65" spans="1:3" ht="22.5">
      <c r="A65" s="128" t="s">
        <v>81</v>
      </c>
      <c r="B65" s="124">
        <v>0.0001</v>
      </c>
      <c r="C65" s="129">
        <f>ROUND(C30*B65,2)/5</f>
        <v>0.034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125.41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563.75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2865.4532727272726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121</v>
      </c>
      <c r="B73" s="138">
        <v>20.18</v>
      </c>
      <c r="C73" s="104">
        <f>(B73*21)</f>
        <v>423.78</v>
      </c>
    </row>
    <row r="74" spans="1:3" ht="13.5">
      <c r="A74" s="89" t="s">
        <v>122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2865.4532727272726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3226.035072727273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38712.42087272728</v>
      </c>
    </row>
  </sheetData>
  <sheetProtection selectLockedCells="1" selectUnlockedCells="1"/>
  <mergeCells count="9">
    <mergeCell ref="A84:C84"/>
    <mergeCell ref="B89:C89"/>
    <mergeCell ref="A93:C93"/>
    <mergeCell ref="A100:C100"/>
    <mergeCell ref="A101:B101"/>
    <mergeCell ref="A3:C3"/>
    <mergeCell ref="A13:C13"/>
    <mergeCell ref="A71:C71"/>
    <mergeCell ref="A76:C76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2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="85" zoomScaleNormal="85" zoomScaleSheetLayoutView="115" zoomScalePageLayoutView="0" workbookViewId="0" topLeftCell="A4">
      <selection activeCell="C25" sqref="C25"/>
    </sheetView>
  </sheetViews>
  <sheetFormatPr defaultColWidth="9.140625" defaultRowHeight="12.75"/>
  <cols>
    <col min="1" max="1" width="69.8515625" style="65" customWidth="1"/>
    <col min="2" max="2" width="14.28125" style="66" customWidth="1"/>
    <col min="3" max="3" width="41.8515625" style="67" customWidth="1"/>
    <col min="4" max="4" width="12.8515625" style="65" customWidth="1"/>
    <col min="5" max="5" width="15.28125" style="65" customWidth="1"/>
    <col min="6" max="7" width="15.421875" style="65" customWidth="1"/>
    <col min="8" max="8" width="9.140625" style="65" customWidth="1"/>
    <col min="9" max="9" width="10.57421875" style="65" customWidth="1"/>
    <col min="10" max="16384" width="9.140625" style="65" customWidth="1"/>
  </cols>
  <sheetData>
    <row r="1" ht="111" customHeight="1">
      <c r="C1" s="173" t="s">
        <v>128</v>
      </c>
    </row>
    <row r="2" spans="1:3" ht="9.75" customHeight="1">
      <c r="A2" s="68"/>
      <c r="B2" s="68"/>
      <c r="C2" s="68"/>
    </row>
    <row r="3" spans="1:3" ht="17.25" customHeight="1">
      <c r="A3" s="186" t="s">
        <v>25</v>
      </c>
      <c r="B3" s="186"/>
      <c r="C3" s="186"/>
    </row>
    <row r="4" spans="1:3" ht="12" customHeight="1">
      <c r="A4" s="69"/>
      <c r="B4" s="69"/>
      <c r="C4" s="69"/>
    </row>
    <row r="5" spans="1:3" ht="9.75" customHeight="1">
      <c r="A5" s="70"/>
      <c r="B5" s="71"/>
      <c r="C5" s="72"/>
    </row>
    <row r="6" spans="1:3" ht="13.5">
      <c r="A6" s="73" t="s">
        <v>26</v>
      </c>
      <c r="B6" s="74" t="s">
        <v>27</v>
      </c>
      <c r="C6" s="74" t="s">
        <v>28</v>
      </c>
    </row>
    <row r="7" spans="1:3" s="78" customFormat="1" ht="13.5">
      <c r="A7" s="75" t="s">
        <v>29</v>
      </c>
      <c r="B7" s="76"/>
      <c r="C7" s="77"/>
    </row>
    <row r="8" spans="1:3" ht="15.75">
      <c r="A8" s="79" t="s">
        <v>30</v>
      </c>
      <c r="B8" s="80">
        <v>8</v>
      </c>
      <c r="C8" s="81" t="s">
        <v>110</v>
      </c>
    </row>
    <row r="9" spans="1:3" ht="30" customHeight="1">
      <c r="A9" s="82" t="s">
        <v>31</v>
      </c>
      <c r="B9" s="171" t="s">
        <v>8</v>
      </c>
      <c r="C9" s="83" t="s">
        <v>124</v>
      </c>
    </row>
    <row r="10" spans="1:3" ht="15.75">
      <c r="A10" s="79" t="s">
        <v>32</v>
      </c>
      <c r="B10" s="84">
        <v>200</v>
      </c>
      <c r="C10" s="81" t="s">
        <v>112</v>
      </c>
    </row>
    <row r="11" spans="1:3" ht="15.75">
      <c r="A11" s="79" t="s">
        <v>33</v>
      </c>
      <c r="B11" s="84"/>
      <c r="C11" s="85"/>
    </row>
    <row r="12" spans="1:3" ht="15.75">
      <c r="A12" s="79" t="s">
        <v>34</v>
      </c>
      <c r="B12" s="84"/>
      <c r="C12" s="85"/>
    </row>
    <row r="13" spans="1:3" ht="10.5" customHeight="1">
      <c r="A13" s="187"/>
      <c r="B13" s="187"/>
      <c r="C13" s="187"/>
    </row>
    <row r="14" spans="1:3" ht="13.5">
      <c r="A14" s="86" t="s">
        <v>35</v>
      </c>
      <c r="B14" s="87"/>
      <c r="C14" s="88"/>
    </row>
    <row r="15" spans="1:3" s="92" customFormat="1" ht="15">
      <c r="A15" s="89" t="s">
        <v>36</v>
      </c>
      <c r="B15" s="90"/>
      <c r="C15" s="91">
        <v>1582.26</v>
      </c>
    </row>
    <row r="16" spans="1:3" s="92" customFormat="1" ht="34.5" customHeight="1">
      <c r="A16" s="89" t="s">
        <v>37</v>
      </c>
      <c r="B16" s="93"/>
      <c r="C16" s="175" t="s">
        <v>125</v>
      </c>
    </row>
    <row r="17" spans="1:3" ht="13.5">
      <c r="A17" s="89" t="s">
        <v>38</v>
      </c>
      <c r="B17" s="94"/>
      <c r="C17" s="172"/>
    </row>
    <row r="18" spans="1:3" ht="13.5">
      <c r="A18" s="89" t="s">
        <v>40</v>
      </c>
      <c r="B18" s="94"/>
      <c r="C18" s="95">
        <v>44562</v>
      </c>
    </row>
    <row r="19" spans="1:3" ht="13.5">
      <c r="A19" s="89" t="s">
        <v>41</v>
      </c>
      <c r="B19" s="96"/>
      <c r="C19" s="97"/>
    </row>
    <row r="20" spans="1:3" ht="9.75" customHeight="1">
      <c r="A20" s="79"/>
      <c r="B20" s="98"/>
      <c r="C20" s="77"/>
    </row>
    <row r="21" spans="1:3" ht="13.5">
      <c r="A21" s="99" t="s">
        <v>43</v>
      </c>
      <c r="B21" s="100" t="s">
        <v>44</v>
      </c>
      <c r="C21" s="101" t="s">
        <v>113</v>
      </c>
    </row>
    <row r="22" spans="1:3" ht="13.5">
      <c r="A22" s="102" t="s">
        <v>45</v>
      </c>
      <c r="B22" s="103"/>
      <c r="C22" s="104"/>
    </row>
    <row r="23" spans="1:3" ht="13.5">
      <c r="A23" s="105" t="s">
        <v>46</v>
      </c>
      <c r="B23" s="106">
        <f>B10</f>
        <v>200</v>
      </c>
      <c r="C23" s="104">
        <f>+C15/220*200</f>
        <v>1438.4181818181817</v>
      </c>
    </row>
    <row r="24" spans="1:3" ht="13.5">
      <c r="A24" s="105" t="s">
        <v>47</v>
      </c>
      <c r="B24" s="106">
        <v>0</v>
      </c>
      <c r="C24" s="104">
        <f>C23*B24%</f>
        <v>0</v>
      </c>
    </row>
    <row r="25" spans="1:3" ht="13.5">
      <c r="A25" s="105" t="s">
        <v>48</v>
      </c>
      <c r="B25" s="106">
        <v>30</v>
      </c>
      <c r="C25" s="104">
        <f>+C15*B25%</f>
        <v>474.678</v>
      </c>
    </row>
    <row r="26" spans="1:3" ht="13.5">
      <c r="A26" s="105" t="s">
        <v>49</v>
      </c>
      <c r="B26" s="106">
        <v>0</v>
      </c>
      <c r="C26" s="104">
        <f>(((C23+C24+C25)/B23)*0.2)*B26</f>
        <v>0</v>
      </c>
    </row>
    <row r="27" spans="1:3" ht="13.5">
      <c r="A27" s="107" t="s">
        <v>114</v>
      </c>
      <c r="B27" s="106">
        <v>0</v>
      </c>
      <c r="C27" s="104">
        <f>((((C23+C24+C25)/B23)*1.5)*B27)+((B27/30*4)*(C23+C24+C25)/B23)*1.5</f>
        <v>0</v>
      </c>
    </row>
    <row r="28" spans="1:3" ht="13.5">
      <c r="A28" s="107" t="s">
        <v>115</v>
      </c>
      <c r="B28" s="106">
        <v>0</v>
      </c>
      <c r="C28" s="104">
        <f>(((C23+C24+C25)/B23)*2)*B28+((B28/30*4)*(C23+C24+C25)/B23)*2</f>
        <v>0</v>
      </c>
    </row>
    <row r="29" spans="1:3" ht="13.5">
      <c r="A29" s="107" t="s">
        <v>50</v>
      </c>
      <c r="B29" s="106">
        <v>0</v>
      </c>
      <c r="C29" s="104">
        <f>(((C23+C24+C25)/B23)*1.5)*B29+((B29/30*4)*(C23+C24+C25)/B23)*1.5</f>
        <v>0</v>
      </c>
    </row>
    <row r="30" spans="1:3" s="111" customFormat="1" ht="13.5">
      <c r="A30" s="108" t="s">
        <v>51</v>
      </c>
      <c r="B30" s="109"/>
      <c r="C30" s="110">
        <f>SUM(C23:C29)</f>
        <v>1913.0961818181818</v>
      </c>
    </row>
    <row r="31" spans="1:3" ht="10.5" customHeight="1">
      <c r="A31" s="112"/>
      <c r="B31" s="113"/>
      <c r="C31" s="104"/>
    </row>
    <row r="32" spans="1:3" ht="13.5">
      <c r="A32" s="102" t="s">
        <v>52</v>
      </c>
      <c r="B32" s="103"/>
      <c r="C32" s="104"/>
    </row>
    <row r="33" spans="1:3" ht="13.5">
      <c r="A33" s="105" t="s">
        <v>53</v>
      </c>
      <c r="B33" s="103"/>
      <c r="C33" s="114"/>
    </row>
    <row r="34" spans="1:3" ht="13.5">
      <c r="A34" s="89" t="s">
        <v>54</v>
      </c>
      <c r="B34" s="113">
        <v>0.2</v>
      </c>
      <c r="C34" s="115">
        <f aca="true" t="shared" si="0" ref="C34:C41">ROUND(C$30*B34,2)</f>
        <v>382.62</v>
      </c>
    </row>
    <row r="35" spans="1:3" ht="13.5">
      <c r="A35" s="89" t="s">
        <v>55</v>
      </c>
      <c r="B35" s="113">
        <v>0.015</v>
      </c>
      <c r="C35" s="115">
        <f t="shared" si="0"/>
        <v>28.7</v>
      </c>
    </row>
    <row r="36" spans="1:3" ht="13.5">
      <c r="A36" s="89" t="s">
        <v>56</v>
      </c>
      <c r="B36" s="113">
        <v>0.01</v>
      </c>
      <c r="C36" s="115">
        <f t="shared" si="0"/>
        <v>19.13</v>
      </c>
    </row>
    <row r="37" spans="1:3" ht="13.5">
      <c r="A37" s="89" t="s">
        <v>57</v>
      </c>
      <c r="B37" s="113">
        <v>0.002</v>
      </c>
      <c r="C37" s="115">
        <f t="shared" si="0"/>
        <v>3.83</v>
      </c>
    </row>
    <row r="38" spans="1:3" ht="13.5">
      <c r="A38" s="89" t="s">
        <v>58</v>
      </c>
      <c r="B38" s="113">
        <v>0.025</v>
      </c>
      <c r="C38" s="115">
        <f t="shared" si="0"/>
        <v>47.83</v>
      </c>
    </row>
    <row r="39" spans="1:3" ht="13.5">
      <c r="A39" s="89" t="s">
        <v>59</v>
      </c>
      <c r="B39" s="113">
        <v>0.08</v>
      </c>
      <c r="C39" s="115">
        <f t="shared" si="0"/>
        <v>153.05</v>
      </c>
    </row>
    <row r="40" spans="1:3" ht="13.5">
      <c r="A40" s="89" t="s">
        <v>60</v>
      </c>
      <c r="B40" s="113">
        <f>'RESUMO FINAL'!C18/100</f>
        <v>0</v>
      </c>
      <c r="C40" s="115">
        <f t="shared" si="0"/>
        <v>0</v>
      </c>
    </row>
    <row r="41" spans="1:3" ht="13.5">
      <c r="A41" s="116" t="s">
        <v>61</v>
      </c>
      <c r="B41" s="117">
        <v>0.006</v>
      </c>
      <c r="C41" s="115">
        <f t="shared" si="0"/>
        <v>11.48</v>
      </c>
    </row>
    <row r="42" spans="1:3" s="111" customFormat="1" ht="13.5">
      <c r="A42" s="112" t="s">
        <v>62</v>
      </c>
      <c r="B42" s="118">
        <f>SUM(B34:B41)</f>
        <v>0.3380000000000001</v>
      </c>
      <c r="C42" s="119">
        <f>TRUNC(SUM(C34:C41),2)</f>
        <v>646.64</v>
      </c>
    </row>
    <row r="43" spans="1:3" ht="9.75" customHeight="1">
      <c r="A43" s="112"/>
      <c r="B43" s="118"/>
      <c r="C43" s="119"/>
    </row>
    <row r="44" spans="1:3" ht="13.5">
      <c r="A44" s="102" t="s">
        <v>63</v>
      </c>
      <c r="B44" s="118"/>
      <c r="C44" s="119"/>
    </row>
    <row r="45" spans="1:3" ht="13.5">
      <c r="A45" s="105" t="s">
        <v>53</v>
      </c>
      <c r="B45" s="118"/>
      <c r="C45" s="119"/>
    </row>
    <row r="46" spans="1:3" ht="13.5">
      <c r="A46" s="112" t="s">
        <v>64</v>
      </c>
      <c r="B46" s="103"/>
      <c r="C46" s="104"/>
    </row>
    <row r="47" spans="1:3" ht="13.5">
      <c r="A47" s="120" t="s">
        <v>65</v>
      </c>
      <c r="B47" s="121">
        <v>0.0833</v>
      </c>
      <c r="C47" s="122">
        <f aca="true" t="shared" si="1" ref="C47:C53">ROUND(C$30*B47,2)</f>
        <v>159.36</v>
      </c>
    </row>
    <row r="48" spans="1:3" ht="13.5">
      <c r="A48" s="120" t="s">
        <v>66</v>
      </c>
      <c r="B48" s="121">
        <v>0.0833</v>
      </c>
      <c r="C48" s="122">
        <f t="shared" si="1"/>
        <v>159.36</v>
      </c>
    </row>
    <row r="49" spans="1:3" ht="13.5">
      <c r="A49" s="89" t="s">
        <v>67</v>
      </c>
      <c r="B49" s="113">
        <v>0.0278</v>
      </c>
      <c r="C49" s="122">
        <f t="shared" si="1"/>
        <v>53.18</v>
      </c>
    </row>
    <row r="50" spans="1:3" ht="13.5">
      <c r="A50" s="89" t="s">
        <v>68</v>
      </c>
      <c r="B50" s="113">
        <v>0.0166</v>
      </c>
      <c r="C50" s="122">
        <f t="shared" si="1"/>
        <v>31.76</v>
      </c>
    </row>
    <row r="51" spans="1:3" ht="13.5">
      <c r="A51" s="123" t="s">
        <v>69</v>
      </c>
      <c r="B51" s="124">
        <v>0.001</v>
      </c>
      <c r="C51" s="122">
        <f t="shared" si="1"/>
        <v>1.91</v>
      </c>
    </row>
    <row r="52" spans="1:3" ht="13.5">
      <c r="A52" s="89" t="s">
        <v>70</v>
      </c>
      <c r="B52" s="113">
        <v>0.0028</v>
      </c>
      <c r="C52" s="122">
        <f t="shared" si="1"/>
        <v>5.36</v>
      </c>
    </row>
    <row r="53" spans="1:3" ht="13.5">
      <c r="A53" s="116" t="s">
        <v>71</v>
      </c>
      <c r="B53" s="117">
        <v>0.0003</v>
      </c>
      <c r="C53" s="122">
        <f t="shared" si="1"/>
        <v>0.57</v>
      </c>
    </row>
    <row r="54" spans="1:3" s="111" customFormat="1" ht="13.5">
      <c r="A54" s="112" t="s">
        <v>72</v>
      </c>
      <c r="B54" s="118">
        <f>SUM(B47:B53)</f>
        <v>0.21509999999999999</v>
      </c>
      <c r="C54" s="125">
        <f>ROUND(SUM(C47:C53),2)</f>
        <v>411.5</v>
      </c>
    </row>
    <row r="55" spans="1:3" ht="9.75" customHeight="1">
      <c r="A55" s="112"/>
      <c r="B55" s="118"/>
      <c r="C55" s="104"/>
    </row>
    <row r="56" spans="1:3" ht="13.5">
      <c r="A56" s="112" t="s">
        <v>73</v>
      </c>
      <c r="B56" s="103"/>
      <c r="C56" s="104"/>
    </row>
    <row r="57" spans="1:6" ht="13.5">
      <c r="A57" s="120" t="s">
        <v>74</v>
      </c>
      <c r="B57" s="121">
        <v>0.0069</v>
      </c>
      <c r="C57" s="122">
        <f>ROUND(C$30*B57,2)</f>
        <v>13.2</v>
      </c>
      <c r="D57" s="126"/>
      <c r="E57" s="126"/>
      <c r="F57" s="126"/>
    </row>
    <row r="58" spans="1:3" ht="13.5">
      <c r="A58" s="89" t="s">
        <v>75</v>
      </c>
      <c r="B58" s="113">
        <v>0.0008</v>
      </c>
      <c r="C58" s="122">
        <f>ROUND(C$30*B58,2)</f>
        <v>1.53</v>
      </c>
    </row>
    <row r="59" spans="1:3" ht="13.5">
      <c r="A59" s="89" t="s">
        <v>76</v>
      </c>
      <c r="B59" s="113">
        <v>0.032</v>
      </c>
      <c r="C59" s="122">
        <f>ROUND(C$30*B59,2)</f>
        <v>61.22</v>
      </c>
    </row>
    <row r="60" spans="1:3" s="111" customFormat="1" ht="13.5">
      <c r="A60" s="108" t="s">
        <v>77</v>
      </c>
      <c r="B60" s="109">
        <f>SUM(B57:B59)</f>
        <v>0.0397</v>
      </c>
      <c r="C60" s="110">
        <f>ROUND(SUM(C57:C59),2)</f>
        <v>75.95</v>
      </c>
    </row>
    <row r="61" spans="1:3" ht="10.5" customHeight="1">
      <c r="A61" s="108"/>
      <c r="B61" s="109"/>
      <c r="C61" s="127"/>
    </row>
    <row r="62" spans="1:3" ht="13.5">
      <c r="A62" s="112" t="s">
        <v>78</v>
      </c>
      <c r="B62" s="113"/>
      <c r="C62" s="104"/>
    </row>
    <row r="63" spans="1:3" ht="13.5">
      <c r="A63" s="128" t="s">
        <v>79</v>
      </c>
      <c r="B63" s="124">
        <f>(C30*B54*B42/100)/C30*100</f>
        <v>0.07270380000000001</v>
      </c>
      <c r="C63" s="129">
        <f>ROUND(C30*B63,2)</f>
        <v>139.09</v>
      </c>
    </row>
    <row r="64" spans="1:3" ht="13.5">
      <c r="A64" s="128" t="s">
        <v>80</v>
      </c>
      <c r="B64" s="124">
        <v>0.0001</v>
      </c>
      <c r="C64" s="129">
        <f>ROUND(C30*B64,2)/5</f>
        <v>0.038</v>
      </c>
    </row>
    <row r="65" spans="1:3" ht="22.5">
      <c r="A65" s="128" t="s">
        <v>81</v>
      </c>
      <c r="B65" s="124">
        <v>0.0001</v>
      </c>
      <c r="C65" s="129">
        <f>ROUND(C30*B65,2)/5</f>
        <v>0.038</v>
      </c>
    </row>
    <row r="66" spans="1:3" s="132" customFormat="1" ht="13.5">
      <c r="A66" s="130" t="s">
        <v>82</v>
      </c>
      <c r="B66" s="131">
        <f>SUM(B63:B65)</f>
        <v>0.07290380000000002</v>
      </c>
      <c r="C66" s="125">
        <f>ROUND(C$30*B66,2)</f>
        <v>139.47</v>
      </c>
    </row>
    <row r="67" spans="1:3" ht="9.75" customHeight="1">
      <c r="A67" s="130"/>
      <c r="B67" s="131"/>
      <c r="C67" s="115"/>
    </row>
    <row r="68" spans="1:3" s="111" customFormat="1" ht="13.5">
      <c r="A68" s="112" t="s">
        <v>83</v>
      </c>
      <c r="B68" s="118">
        <f>B66+B60+B54</f>
        <v>0.3277038</v>
      </c>
      <c r="C68" s="125">
        <f>C66+C60+C54</f>
        <v>626.9200000000001</v>
      </c>
    </row>
    <row r="69" spans="1:3" ht="11.25" customHeight="1">
      <c r="A69" s="133"/>
      <c r="B69" s="134"/>
      <c r="C69" s="135"/>
    </row>
    <row r="70" spans="1:3" s="111" customFormat="1" ht="13.5">
      <c r="A70" s="133" t="s">
        <v>84</v>
      </c>
      <c r="B70" s="136" t="s">
        <v>8</v>
      </c>
      <c r="C70" s="137">
        <f>C30+C68+C42</f>
        <v>3186.6561818181817</v>
      </c>
    </row>
    <row r="71" spans="1:3" ht="9.75" customHeight="1">
      <c r="A71" s="188"/>
      <c r="B71" s="188"/>
      <c r="C71" s="188"/>
    </row>
    <row r="72" spans="1:3" ht="13.5">
      <c r="A72" s="73" t="s">
        <v>85</v>
      </c>
      <c r="B72" s="100" t="str">
        <f>B21</f>
        <v>Vlr / % / Hs</v>
      </c>
      <c r="C72" s="101" t="str">
        <f>C21</f>
        <v>POR POSTO</v>
      </c>
    </row>
    <row r="73" spans="1:3" ht="13.5">
      <c r="A73" s="89" t="s">
        <v>121</v>
      </c>
      <c r="B73" s="138">
        <v>20.18</v>
      </c>
      <c r="C73" s="104">
        <f>(B73*21)</f>
        <v>423.78</v>
      </c>
    </row>
    <row r="74" spans="1:3" ht="13.5">
      <c r="A74" s="89" t="s">
        <v>122</v>
      </c>
      <c r="B74" s="124">
        <v>0.19</v>
      </c>
      <c r="C74" s="104">
        <f>-B74*C73</f>
        <v>-80.5182</v>
      </c>
    </row>
    <row r="75" spans="1:3" s="111" customFormat="1" ht="13.5">
      <c r="A75" s="112" t="s">
        <v>86</v>
      </c>
      <c r="B75" s="139" t="s">
        <v>8</v>
      </c>
      <c r="C75" s="125">
        <f>SUM(C73:C74)</f>
        <v>343.2618</v>
      </c>
    </row>
    <row r="76" spans="1:3" ht="10.5" customHeight="1">
      <c r="A76" s="188"/>
      <c r="B76" s="188"/>
      <c r="C76" s="188"/>
    </row>
    <row r="77" spans="1:3" ht="13.5">
      <c r="A77" s="73" t="s">
        <v>87</v>
      </c>
      <c r="B77" s="100" t="str">
        <f>B72</f>
        <v>Vlr / % / Hs</v>
      </c>
      <c r="C77" s="101" t="str">
        <f>C21</f>
        <v>POR POSTO</v>
      </c>
    </row>
    <row r="78" spans="1:3" s="141" customFormat="1" ht="13.5">
      <c r="A78" s="123" t="s">
        <v>88</v>
      </c>
      <c r="B78" s="140" t="s">
        <v>8</v>
      </c>
      <c r="C78" s="104">
        <v>0</v>
      </c>
    </row>
    <row r="79" spans="1:3" ht="13.5">
      <c r="A79" s="123" t="s">
        <v>89</v>
      </c>
      <c r="B79" s="140" t="s">
        <v>8</v>
      </c>
      <c r="C79" s="104">
        <v>0</v>
      </c>
    </row>
    <row r="80" spans="1:3" ht="13.5">
      <c r="A80" s="105" t="s">
        <v>90</v>
      </c>
      <c r="B80" s="113" t="s">
        <v>8</v>
      </c>
      <c r="C80" s="104">
        <v>0</v>
      </c>
    </row>
    <row r="81" spans="1:3" ht="13.5">
      <c r="A81" s="89" t="s">
        <v>91</v>
      </c>
      <c r="B81" s="113" t="s">
        <v>8</v>
      </c>
      <c r="C81" s="104">
        <v>0</v>
      </c>
    </row>
    <row r="82" spans="1:3" ht="13.5">
      <c r="A82" s="107" t="s">
        <v>92</v>
      </c>
      <c r="B82" s="117" t="s">
        <v>8</v>
      </c>
      <c r="C82" s="127">
        <v>17.32</v>
      </c>
    </row>
    <row r="83" spans="1:3" s="111" customFormat="1" ht="13.5">
      <c r="A83" s="112" t="s">
        <v>93</v>
      </c>
      <c r="B83" s="139"/>
      <c r="C83" s="125">
        <f>SUM(C78:C82)</f>
        <v>17.32</v>
      </c>
    </row>
    <row r="84" spans="1:3" ht="10.5" customHeight="1">
      <c r="A84" s="189"/>
      <c r="B84" s="189"/>
      <c r="C84" s="189"/>
    </row>
    <row r="85" spans="1:3" ht="13.5">
      <c r="A85" s="142" t="s">
        <v>94</v>
      </c>
      <c r="B85" s="100" t="s">
        <v>10</v>
      </c>
      <c r="C85" s="101" t="str">
        <f>C77</f>
        <v>POR POSTO</v>
      </c>
    </row>
    <row r="86" spans="1:3" ht="13.5">
      <c r="A86" s="89" t="s">
        <v>95</v>
      </c>
      <c r="B86" s="143">
        <f>'RESUMO FINAL'!$C$22</f>
        <v>0</v>
      </c>
      <c r="C86" s="144">
        <f>ROUND(($C$70+$C$83+C75)*$B$86%,2)</f>
        <v>0</v>
      </c>
    </row>
    <row r="87" spans="1:3" ht="13.5">
      <c r="A87" s="89" t="s">
        <v>96</v>
      </c>
      <c r="B87" s="145">
        <f>'RESUMO FINAL'!$C$23</f>
        <v>0</v>
      </c>
      <c r="C87" s="146">
        <f>ROUND(($C$70+$C$83+C75)*$B$87%,2)</f>
        <v>0</v>
      </c>
    </row>
    <row r="88" spans="1:3" s="111" customFormat="1" ht="13.5">
      <c r="A88" s="112" t="s">
        <v>97</v>
      </c>
      <c r="B88" s="147"/>
      <c r="C88" s="125">
        <f>ROUND(SUM(C86:C87),2)</f>
        <v>0</v>
      </c>
    </row>
    <row r="89" spans="1:3" ht="10.5" customHeight="1">
      <c r="A89" s="148"/>
      <c r="B89" s="190"/>
      <c r="C89" s="190"/>
    </row>
    <row r="90" spans="1:3" ht="13.5">
      <c r="A90" s="149" t="s">
        <v>98</v>
      </c>
      <c r="B90" s="100" t="s">
        <v>10</v>
      </c>
      <c r="C90" s="101" t="str">
        <f>C85</f>
        <v>POR POSTO</v>
      </c>
    </row>
    <row r="91" spans="1:3" ht="13.5">
      <c r="A91" s="89" t="s">
        <v>99</v>
      </c>
      <c r="B91" s="121">
        <f>'RESUMO FINAL'!C24/100</f>
        <v>0</v>
      </c>
      <c r="C91" s="150">
        <f>SUM($C$101)*B91</f>
        <v>0</v>
      </c>
    </row>
    <row r="92" spans="1:6" s="111" customFormat="1" ht="16.5" customHeight="1">
      <c r="A92" s="112" t="s">
        <v>100</v>
      </c>
      <c r="B92" s="134">
        <f>SUM(B91:B91)</f>
        <v>0</v>
      </c>
      <c r="C92" s="151">
        <f>SUM(C90:C91)</f>
        <v>0</v>
      </c>
      <c r="F92" s="65"/>
    </row>
    <row r="93" spans="1:7" ht="10.5" customHeight="1">
      <c r="A93" s="183"/>
      <c r="B93" s="183"/>
      <c r="C93" s="183"/>
      <c r="E93" s="152"/>
      <c r="G93" s="153"/>
    </row>
    <row r="94" spans="1:7" ht="13.5">
      <c r="A94" s="154" t="s">
        <v>101</v>
      </c>
      <c r="B94" s="100" t="str">
        <f>B77</f>
        <v>Vlr / % / Hs</v>
      </c>
      <c r="C94" s="101" t="str">
        <f>C90</f>
        <v>POR POSTO</v>
      </c>
      <c r="E94" s="152"/>
      <c r="G94" s="153"/>
    </row>
    <row r="95" spans="1:7" s="158" customFormat="1" ht="15.75">
      <c r="A95" s="155" t="s">
        <v>102</v>
      </c>
      <c r="B95" s="156" t="s">
        <v>8</v>
      </c>
      <c r="C95" s="157">
        <f>C70</f>
        <v>3186.6561818181817</v>
      </c>
      <c r="E95" s="152"/>
      <c r="F95" s="65"/>
      <c r="G95" s="153"/>
    </row>
    <row r="96" spans="1:7" s="158" customFormat="1" ht="15.75" customHeight="1">
      <c r="A96" s="159" t="s">
        <v>103</v>
      </c>
      <c r="B96" s="160" t="s">
        <v>8</v>
      </c>
      <c r="C96" s="157">
        <f>C75</f>
        <v>343.2618</v>
      </c>
      <c r="E96" s="152"/>
      <c r="F96" s="65"/>
      <c r="G96" s="153"/>
    </row>
    <row r="97" spans="1:7" s="158" customFormat="1" ht="15.75" customHeight="1">
      <c r="A97" s="159" t="s">
        <v>104</v>
      </c>
      <c r="B97" s="160" t="s">
        <v>8</v>
      </c>
      <c r="C97" s="157">
        <f>C83</f>
        <v>17.32</v>
      </c>
      <c r="E97" s="152"/>
      <c r="F97" s="65"/>
      <c r="G97" s="153"/>
    </row>
    <row r="98" spans="1:7" s="158" customFormat="1" ht="15.75" customHeight="1">
      <c r="A98" s="159" t="s">
        <v>105</v>
      </c>
      <c r="B98" s="160" t="s">
        <v>8</v>
      </c>
      <c r="C98" s="157">
        <f>C88</f>
        <v>0</v>
      </c>
      <c r="E98" s="152"/>
      <c r="F98" s="65"/>
      <c r="G98" s="153"/>
    </row>
    <row r="99" spans="1:7" s="158" customFormat="1" ht="15.75" customHeight="1">
      <c r="A99" s="159" t="s">
        <v>106</v>
      </c>
      <c r="B99" s="160" t="s">
        <v>8</v>
      </c>
      <c r="C99" s="157">
        <f>C92</f>
        <v>0</v>
      </c>
      <c r="F99" s="65"/>
      <c r="G99" s="153"/>
    </row>
    <row r="100" spans="1:7" s="158" customFormat="1" ht="10.5" customHeight="1">
      <c r="A100" s="184"/>
      <c r="B100" s="184"/>
      <c r="C100" s="184"/>
      <c r="F100" s="65"/>
      <c r="G100" s="153"/>
    </row>
    <row r="101" spans="1:6" s="162" customFormat="1" ht="16.5">
      <c r="A101" s="185" t="s">
        <v>107</v>
      </c>
      <c r="B101" s="185"/>
      <c r="C101" s="161">
        <f>SUM(C95:C98)/((1-(B92/1)))</f>
        <v>3547.237981818182</v>
      </c>
      <c r="F101" s="65"/>
    </row>
    <row r="102" spans="1:9" ht="10.5" customHeight="1">
      <c r="A102" s="163"/>
      <c r="B102" s="164"/>
      <c r="C102" s="164"/>
      <c r="I102" s="126"/>
    </row>
    <row r="103" spans="1:3" ht="15.75">
      <c r="A103" s="165" t="s">
        <v>108</v>
      </c>
      <c r="B103" s="166"/>
      <c r="C103" s="101" t="str">
        <f>C94</f>
        <v>POR POSTO</v>
      </c>
    </row>
    <row r="104" spans="1:3" s="170" customFormat="1" ht="16.5">
      <c r="A104" s="167" t="s">
        <v>109</v>
      </c>
      <c r="B104" s="168">
        <v>12</v>
      </c>
      <c r="C104" s="169">
        <f>C101*B104</f>
        <v>42566.85578181819</v>
      </c>
    </row>
  </sheetData>
  <sheetProtection selectLockedCells="1" selectUnlockedCells="1"/>
  <mergeCells count="9">
    <mergeCell ref="A93:C93"/>
    <mergeCell ref="A100:C100"/>
    <mergeCell ref="A101:B101"/>
    <mergeCell ref="A3:C3"/>
    <mergeCell ref="A13:C13"/>
    <mergeCell ref="A71:C71"/>
    <mergeCell ref="A76:C76"/>
    <mergeCell ref="A84:C84"/>
    <mergeCell ref="B89:C89"/>
  </mergeCells>
  <printOptions horizontalCentered="1"/>
  <pageMargins left="0.7083333333333334" right="0.39375" top="0.5506944444444445" bottom="0.39375" header="0.3541666666666667" footer="0.5118055555555555"/>
  <pageSetup fitToHeight="1" fitToWidth="1" horizontalDpi="300" verticalDpi="300" orientation="portrait" paperSize="9" scale="51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</dc:creator>
  <cp:keywords/>
  <dc:description/>
  <cp:lastModifiedBy>Usuario</cp:lastModifiedBy>
  <cp:lastPrinted>2022-06-03T19:25:50Z</cp:lastPrinted>
  <dcterms:created xsi:type="dcterms:W3CDTF">2022-05-26T12:45:48Z</dcterms:created>
  <dcterms:modified xsi:type="dcterms:W3CDTF">2022-07-14T17:36:40Z</dcterms:modified>
  <cp:category/>
  <cp:version/>
  <cp:contentType/>
  <cp:contentStatus/>
</cp:coreProperties>
</file>